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cmagovau-my.sharepoint.com/personal/david_whytcross_acma_gov_au/Documents/Downloads/ESL pricing - Stage 3 uploads/"/>
    </mc:Choice>
  </mc:AlternateContent>
  <xr:revisionPtr revIDLastSave="181" documentId="8_{4BAFD97B-958F-4D88-8ACA-138F40072A6C}" xr6:coauthVersionLast="47" xr6:coauthVersionMax="47" xr10:uidLastSave="{E9D25E08-2584-481D-8274-052F14AD933A}"/>
  <bookViews>
    <workbookView xWindow="-51720" yWindow="-1890" windowWidth="51840" windowHeight="21240" xr2:uid="{EEE1B0E6-2A29-4CF4-B51E-B5EFD270BE6D}"/>
  </bookViews>
  <sheets>
    <sheet name="ESL Benchmark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K40" i="1"/>
  <c r="J40" i="1"/>
  <c r="K39" i="1"/>
  <c r="M37" i="1"/>
  <c r="L37" i="1"/>
  <c r="K37" i="1"/>
  <c r="J37" i="1"/>
  <c r="H37" i="1"/>
  <c r="G37" i="1"/>
  <c r="F37" i="1"/>
  <c r="E37" i="1"/>
  <c r="J39" i="1"/>
  <c r="M21" i="1"/>
  <c r="L21" i="1"/>
  <c r="K19" i="1"/>
  <c r="J19" i="1"/>
  <c r="F5" i="1"/>
  <c r="F6" i="1"/>
  <c r="F24" i="1" s="1"/>
  <c r="E19" i="1"/>
  <c r="F19" i="1"/>
  <c r="G21" i="1"/>
  <c r="H21" i="1"/>
  <c r="E35" i="1"/>
  <c r="F35" i="1"/>
  <c r="G35" i="1"/>
  <c r="H35" i="1"/>
  <c r="J35" i="1"/>
  <c r="K35" i="1"/>
  <c r="L35" i="1"/>
  <c r="M35" i="1"/>
  <c r="E24" i="1" l="1"/>
  <c r="M24" i="1"/>
  <c r="M25" i="1" s="1"/>
  <c r="M27" i="1" s="1"/>
  <c r="M39" i="1" s="1"/>
  <c r="L24" i="1"/>
  <c r="L25" i="1" s="1"/>
  <c r="L27" i="1" s="1"/>
  <c r="K24" i="1"/>
  <c r="K25" i="1" s="1"/>
  <c r="K27" i="1" s="1"/>
  <c r="J24" i="1"/>
  <c r="J25" i="1" s="1"/>
  <c r="J27" i="1" s="1"/>
  <c r="H24" i="1"/>
  <c r="H25" i="1" s="1"/>
  <c r="H27" i="1" s="1"/>
  <c r="H39" i="1" s="1"/>
  <c r="H40" i="1" s="1"/>
  <c r="F25" i="1"/>
  <c r="F27" i="1" s="1"/>
  <c r="E25" i="1"/>
  <c r="E27" i="1" s="1"/>
  <c r="G24" i="1"/>
  <c r="G25" i="1" s="1"/>
  <c r="G27" i="1" s="1"/>
  <c r="G28" i="1" l="1"/>
  <c r="J28" i="1"/>
  <c r="L28" i="1"/>
  <c r="F39" i="1"/>
  <c r="F40" i="1" s="1"/>
  <c r="E28" i="1"/>
  <c r="G39" i="1"/>
  <c r="G40" i="1" s="1"/>
  <c r="L39" i="1"/>
  <c r="E39" i="1"/>
  <c r="E40" i="1" s="1"/>
  <c r="E33" i="1" l="1"/>
  <c r="F33" i="1"/>
  <c r="L33" i="1"/>
  <c r="M33" i="1"/>
  <c r="J33" i="1"/>
  <c r="K33" i="1"/>
  <c r="G33" i="1"/>
  <c r="H33" i="1"/>
</calcChain>
</file>

<file path=xl/sharedStrings.xml><?xml version="1.0" encoding="utf-8"?>
<sst xmlns="http://schemas.openxmlformats.org/spreadsheetml/2006/main" count="62" uniqueCount="47">
  <si>
    <t>Assumptions</t>
  </si>
  <si>
    <t>Annual</t>
  </si>
  <si>
    <t>Daily</t>
  </si>
  <si>
    <t>Index growth rate</t>
  </si>
  <si>
    <t>WACC</t>
  </si>
  <si>
    <t>Benchmark year (date)</t>
  </si>
  <si>
    <t>Note:</t>
  </si>
  <si>
    <t>All prices paid at beginning of year</t>
  </si>
  <si>
    <t>Annuity Method</t>
  </si>
  <si>
    <t>Tilted Annuity Method</t>
  </si>
  <si>
    <t>Licence 3</t>
  </si>
  <si>
    <t>Licence 4</t>
  </si>
  <si>
    <t>Licence 1</t>
  </si>
  <si>
    <t>Licence 2</t>
  </si>
  <si>
    <t>Licensee</t>
  </si>
  <si>
    <t>Spectrum band</t>
  </si>
  <si>
    <t>Amount paid</t>
  </si>
  <si>
    <t>Price 1</t>
  </si>
  <si>
    <t>Price 2</t>
  </si>
  <si>
    <t>Date paid</t>
  </si>
  <si>
    <t>Duration (Years)</t>
  </si>
  <si>
    <t>Start Date</t>
  </si>
  <si>
    <t>End Date</t>
  </si>
  <si>
    <t>Benchmarking</t>
  </si>
  <si>
    <t>Step 1: Adjust multi-year prices into single annual price</t>
  </si>
  <si>
    <t>Upfront licence price (at licence start date)</t>
  </si>
  <si>
    <t>Single annual price</t>
  </si>
  <si>
    <t>Step 2: Carry single annual price to benchmark year</t>
  </si>
  <si>
    <t>Application to ESLs</t>
  </si>
  <si>
    <t>ESL 1</t>
  </si>
  <si>
    <t>ESL 2</t>
  </si>
  <si>
    <t>ESL 3</t>
  </si>
  <si>
    <t>ESL 4</t>
  </si>
  <si>
    <t>Benchmark price</t>
  </si>
  <si>
    <t>ESL start date</t>
  </si>
  <si>
    <t>ESL end date</t>
  </si>
  <si>
    <t>Step 3: Convert benchmark price to ESL start date</t>
  </si>
  <si>
    <t>Benchmark annual price (at ESL start date)</t>
  </si>
  <si>
    <t>Step 4: Apply benchmark price to ESL duration</t>
  </si>
  <si>
    <t>Benchmark daily price (at ESL start date)</t>
  </si>
  <si>
    <t>Benchmark licence price (at ESL start date)</t>
  </si>
  <si>
    <t>Attachment A: Benchmark Adjustment Model</t>
  </si>
  <si>
    <t>850/900</t>
  </si>
  <si>
    <t>Example data only</t>
  </si>
  <si>
    <t>Benchmark</t>
  </si>
  <si>
    <t>ESL</t>
  </si>
  <si>
    <t>Median annual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</si>
</sst>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"/>
    <numFmt numFmtId="165" formatCode="&quot;$&quot;#,##0.00"/>
    <numFmt numFmtId="166" formatCode="0.000%"/>
    <numFmt numFmtId="167" formatCode="&quot;$&quot;#,##0.00000"/>
    <numFmt numFmtId="168" formatCode="&quot;$&quot;#,##0.00000;[Red]\-&quot;$&quot;#,##0.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423F4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3" fillId="0" borderId="0" xfId="0" applyNumberFormat="1" applyFont="1"/>
    <xf numFmtId="164" fontId="3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4" fontId="3" fillId="0" borderId="0" xfId="0" applyNumberFormat="1" applyFont="1" applyAlignment="1">
      <alignment horizontal="center"/>
    </xf>
    <xf numFmtId="1" fontId="3" fillId="0" borderId="0" xfId="0" applyNumberFormat="1" applyFont="1"/>
    <xf numFmtId="164" fontId="0" fillId="0" borderId="0" xfId="0" applyNumberFormat="1"/>
    <xf numFmtId="0" fontId="2" fillId="2" borderId="0" xfId="0" applyFont="1" applyFill="1"/>
    <xf numFmtId="0" fontId="0" fillId="0" borderId="0" xfId="0" applyAlignment="1">
      <alignment horizontal="center"/>
    </xf>
    <xf numFmtId="166" fontId="3" fillId="0" borderId="0" xfId="1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/>
    <xf numFmtId="0" fontId="4" fillId="2" borderId="0" xfId="0" applyFont="1" applyFill="1"/>
    <xf numFmtId="0" fontId="5" fillId="0" borderId="0" xfId="0" applyFont="1"/>
    <xf numFmtId="1" fontId="3" fillId="0" borderId="0" xfId="0" quotePrefix="1" applyNumberFormat="1" applyFont="1" applyAlignment="1">
      <alignment horizontal="right"/>
    </xf>
    <xf numFmtId="167" fontId="3" fillId="0" borderId="0" xfId="0" applyNumberFormat="1" applyFont="1"/>
    <xf numFmtId="167" fontId="0" fillId="0" borderId="0" xfId="0" applyNumberFormat="1"/>
    <xf numFmtId="8" fontId="0" fillId="0" borderId="0" xfId="0" applyNumberFormat="1"/>
    <xf numFmtId="168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2EFF-36F8-4311-957A-44B97271AF30}">
  <dimension ref="A1:U42"/>
  <sheetViews>
    <sheetView showFormulas="1" tabSelected="1" workbookViewId="0">
      <selection activeCell="L17" sqref="L17"/>
    </sheetView>
  </sheetViews>
  <sheetFormatPr defaultRowHeight="14.5" x14ac:dyDescent="0.35"/>
  <cols>
    <col min="1" max="1" width="4.1796875" customWidth="1"/>
    <col min="2" max="2" width="6.1796875" customWidth="1"/>
    <col min="3" max="3" width="30.81640625" customWidth="1"/>
    <col min="5" max="6" width="9.453125" bestFit="1" customWidth="1"/>
    <col min="7" max="7" width="10.453125" bestFit="1" customWidth="1"/>
    <col min="9" max="9" width="1.1796875" customWidth="1"/>
    <col min="14" max="14" width="1.26953125" customWidth="1"/>
    <col min="18" max="18" width="9.1796875" customWidth="1"/>
    <col min="19" max="19" width="1.453125" customWidth="1"/>
  </cols>
  <sheetData>
    <row r="1" spans="1:13" ht="21" x14ac:dyDescent="0.5">
      <c r="A1" s="13" t="s">
        <v>41</v>
      </c>
    </row>
    <row r="2" spans="1:13" x14ac:dyDescent="0.35">
      <c r="A2" s="15" t="s">
        <v>43</v>
      </c>
    </row>
    <row r="4" spans="1:13" x14ac:dyDescent="0.35">
      <c r="B4" s="14" t="s">
        <v>0</v>
      </c>
      <c r="C4" s="8"/>
      <c r="D4" s="8"/>
      <c r="E4" s="8" t="s">
        <v>1</v>
      </c>
      <c r="F4" s="8" t="s">
        <v>2</v>
      </c>
    </row>
    <row r="5" spans="1:13" x14ac:dyDescent="0.35">
      <c r="C5" t="s">
        <v>3</v>
      </c>
      <c r="E5" s="12">
        <v>1.4999999999999999E-2</v>
      </c>
      <c r="F5" s="10">
        <f>(1+E5)^(1/365)-1</f>
        <v>4.0791551113583679E-5</v>
      </c>
    </row>
    <row r="6" spans="1:13" x14ac:dyDescent="0.35">
      <c r="C6" t="s">
        <v>4</v>
      </c>
      <c r="E6" s="11">
        <v>0.08</v>
      </c>
      <c r="F6" s="10">
        <f>(1+E6)^(1/365)-1</f>
        <v>2.1087439837685906E-4</v>
      </c>
    </row>
    <row r="7" spans="1:13" x14ac:dyDescent="0.35">
      <c r="C7" t="s">
        <v>5</v>
      </c>
      <c r="E7" s="5">
        <v>45839</v>
      </c>
      <c r="F7" s="9"/>
    </row>
    <row r="8" spans="1:13" x14ac:dyDescent="0.35">
      <c r="C8" t="s">
        <v>6</v>
      </c>
      <c r="D8" t="s">
        <v>7</v>
      </c>
    </row>
    <row r="10" spans="1:13" x14ac:dyDescent="0.35">
      <c r="B10" s="14" t="s">
        <v>23</v>
      </c>
      <c r="C10" s="8"/>
      <c r="D10" s="8"/>
      <c r="E10" s="8" t="s">
        <v>8</v>
      </c>
      <c r="F10" s="8"/>
      <c r="G10" s="8"/>
      <c r="H10" s="8"/>
      <c r="I10" s="8"/>
      <c r="J10" s="8" t="s">
        <v>9</v>
      </c>
      <c r="K10" s="8"/>
      <c r="L10" s="8"/>
      <c r="M10" s="8"/>
    </row>
    <row r="12" spans="1:13" x14ac:dyDescent="0.35">
      <c r="B12" s="15"/>
      <c r="C12" t="s">
        <v>44</v>
      </c>
      <c r="E12" t="s">
        <v>12</v>
      </c>
      <c r="F12" t="s">
        <v>13</v>
      </c>
      <c r="G12" t="s">
        <v>10</v>
      </c>
      <c r="H12" t="s">
        <v>11</v>
      </c>
      <c r="J12" t="s">
        <v>12</v>
      </c>
      <c r="K12" t="s">
        <v>13</v>
      </c>
      <c r="L12" t="s">
        <v>10</v>
      </c>
      <c r="M12" t="s">
        <v>11</v>
      </c>
    </row>
    <row r="13" spans="1:13" x14ac:dyDescent="0.35">
      <c r="C13" t="s">
        <v>14</v>
      </c>
    </row>
    <row r="14" spans="1:13" x14ac:dyDescent="0.35">
      <c r="C14" t="s">
        <v>15</v>
      </c>
      <c r="E14" s="16" t="s">
        <v>42</v>
      </c>
      <c r="F14" s="6">
        <v>850</v>
      </c>
      <c r="G14" s="6">
        <v>2600</v>
      </c>
      <c r="H14" s="6">
        <v>2600</v>
      </c>
      <c r="J14" s="16" t="s">
        <v>42</v>
      </c>
      <c r="K14" s="6">
        <v>850</v>
      </c>
      <c r="L14" s="6">
        <v>2600</v>
      </c>
      <c r="M14" s="6">
        <v>2600</v>
      </c>
    </row>
    <row r="15" spans="1:13" x14ac:dyDescent="0.35">
      <c r="C15" t="s">
        <v>16</v>
      </c>
      <c r="D15" t="s">
        <v>17</v>
      </c>
      <c r="E15" s="4">
        <v>1.21</v>
      </c>
      <c r="F15" s="4">
        <v>0.4</v>
      </c>
      <c r="G15" s="4">
        <v>0.5</v>
      </c>
      <c r="H15" s="4">
        <v>0.1</v>
      </c>
      <c r="I15" s="3"/>
      <c r="J15" s="4">
        <v>1.21</v>
      </c>
      <c r="K15" s="4">
        <v>0.4</v>
      </c>
      <c r="L15" s="4">
        <v>0.5</v>
      </c>
      <c r="M15" s="4">
        <v>0.1</v>
      </c>
    </row>
    <row r="16" spans="1:13" x14ac:dyDescent="0.35">
      <c r="D16" t="s">
        <v>18</v>
      </c>
      <c r="F16" s="4">
        <v>0.1</v>
      </c>
      <c r="G16" s="4">
        <v>0.05</v>
      </c>
      <c r="H16" s="3"/>
      <c r="I16" s="3"/>
      <c r="K16" s="4">
        <v>0.1</v>
      </c>
      <c r="L16" s="4">
        <v>0.05</v>
      </c>
      <c r="M16" s="3"/>
    </row>
    <row r="17" spans="2:21" x14ac:dyDescent="0.35">
      <c r="C17" t="s">
        <v>19</v>
      </c>
      <c r="D17" t="s">
        <v>17</v>
      </c>
      <c r="E17" s="1">
        <v>45474</v>
      </c>
      <c r="F17" s="1">
        <v>45474</v>
      </c>
      <c r="G17" s="1">
        <v>43282</v>
      </c>
      <c r="H17" s="1">
        <v>44378</v>
      </c>
      <c r="J17" s="1">
        <v>45474</v>
      </c>
      <c r="K17" s="1">
        <v>45474</v>
      </c>
      <c r="L17" s="1">
        <v>43282</v>
      </c>
      <c r="M17" s="1">
        <v>44378</v>
      </c>
    </row>
    <row r="18" spans="2:21" x14ac:dyDescent="0.35">
      <c r="D18" t="s">
        <v>18</v>
      </c>
      <c r="E18" s="1"/>
      <c r="F18" s="1">
        <v>45839</v>
      </c>
      <c r="G18" s="1">
        <v>43647</v>
      </c>
      <c r="J18" s="1"/>
      <c r="K18" s="1">
        <v>45839</v>
      </c>
      <c r="L18" s="1">
        <v>43647</v>
      </c>
    </row>
    <row r="19" spans="2:21" x14ac:dyDescent="0.35">
      <c r="C19" t="s">
        <v>20</v>
      </c>
      <c r="E19" s="6">
        <f>(E21-E20)/365</f>
        <v>20.010958904109589</v>
      </c>
      <c r="F19" s="6">
        <f>(F21-F20)/365</f>
        <v>3.9643835616438357</v>
      </c>
      <c r="G19" s="6">
        <v>5</v>
      </c>
      <c r="H19" s="6">
        <v>1</v>
      </c>
      <c r="J19" s="6">
        <f>(J21-J20)/365</f>
        <v>20.010958904109589</v>
      </c>
      <c r="K19" s="6">
        <f>(K21-K20)/365</f>
        <v>3.9643835616438357</v>
      </c>
      <c r="L19" s="6">
        <v>5</v>
      </c>
      <c r="M19" s="6">
        <v>1</v>
      </c>
      <c r="T19" s="19"/>
    </row>
    <row r="20" spans="2:21" x14ac:dyDescent="0.35">
      <c r="C20" t="s">
        <v>21</v>
      </c>
      <c r="E20" s="1">
        <v>45474</v>
      </c>
      <c r="F20" s="1">
        <v>45474</v>
      </c>
      <c r="G20" s="1">
        <v>43282</v>
      </c>
      <c r="H20" s="1">
        <v>44378</v>
      </c>
      <c r="J20" s="1">
        <v>45474</v>
      </c>
      <c r="K20" s="1">
        <v>45474</v>
      </c>
      <c r="L20" s="1">
        <v>43282</v>
      </c>
      <c r="M20" s="1">
        <v>44378</v>
      </c>
      <c r="T20" s="3"/>
      <c r="U20" s="3"/>
    </row>
    <row r="21" spans="2:21" x14ac:dyDescent="0.35">
      <c r="C21" t="s">
        <v>22</v>
      </c>
      <c r="E21" s="1">
        <v>52778</v>
      </c>
      <c r="F21" s="1">
        <v>46921</v>
      </c>
      <c r="G21" s="1">
        <f>DATE(YEAR(G20)+G19,MONTH(G20),DAY(G20))</f>
        <v>45108</v>
      </c>
      <c r="H21" s="1">
        <f>DATE(YEAR(H20)+H19,MONTH(H20),DAY(H20))</f>
        <v>44743</v>
      </c>
      <c r="J21" s="1">
        <v>52778</v>
      </c>
      <c r="K21" s="1">
        <v>46921</v>
      </c>
      <c r="L21" s="1">
        <f>DATE(YEAR(L20)+L19,MONTH(L20),DAY(L20))</f>
        <v>45108</v>
      </c>
      <c r="M21" s="1">
        <f>DATE(YEAR(M20)+M19,MONTH(M20),DAY(M20))</f>
        <v>44743</v>
      </c>
      <c r="T21" s="3"/>
      <c r="U21" s="3"/>
    </row>
    <row r="22" spans="2:21" x14ac:dyDescent="0.35">
      <c r="T22" s="3"/>
      <c r="U22" s="3"/>
    </row>
    <row r="23" spans="2:21" x14ac:dyDescent="0.35">
      <c r="B23" s="15" t="s">
        <v>24</v>
      </c>
      <c r="T23" s="3"/>
      <c r="U23" s="3"/>
    </row>
    <row r="24" spans="2:21" x14ac:dyDescent="0.35">
      <c r="C24" t="s">
        <v>25</v>
      </c>
      <c r="E24" s="4">
        <f>E15*(1+$F$6)^(E17-E20)+E16*(1+$F$6)^(E18-E20)</f>
        <v>1.21</v>
      </c>
      <c r="F24" s="4">
        <f>F15/(1+$F$6)^(F17-F20)+F16/(1+$F$6)^(F18-F20)</f>
        <v>0.49259259259259547</v>
      </c>
      <c r="G24" s="4">
        <f>G15/(1+$F$6)^(G17-G20)+G16/(1+$F$6)^(G18-G20)</f>
        <v>0.54629629629629772</v>
      </c>
      <c r="H24" s="4">
        <f>H15/(1+$F$6)^(H17-H20)+H16/(1+$F$6)^(H18-H20)</f>
        <v>0.1</v>
      </c>
      <c r="I24" s="3"/>
      <c r="J24" s="4">
        <f>J15*(1+$F$6)^(J17-J20)+J16*(1+$F$6)^(J18-J20)</f>
        <v>1.21</v>
      </c>
      <c r="K24" s="4">
        <f>K15/(1+$F$6)^(K17-K20)+K16/(1+$F$6)^(K18-K20)</f>
        <v>0.49259259259259547</v>
      </c>
      <c r="L24" s="4">
        <f>L15/(1+$F$6)^(L17-L20)+L16/(1+$F$6)^(L18-L20)</f>
        <v>0.54629629629629772</v>
      </c>
      <c r="M24" s="4">
        <f>M15/(1+$F$6)^(M17-M20)+M16/(1+$F$6)^(M18-M20)</f>
        <v>0.1</v>
      </c>
      <c r="T24" s="3"/>
      <c r="U24" s="3"/>
    </row>
    <row r="25" spans="2:21" x14ac:dyDescent="0.35">
      <c r="C25" t="s">
        <v>26</v>
      </c>
      <c r="E25" s="4">
        <f>-PMT($E$6,E19,E24,0,1)</f>
        <v>0.11408592496956345</v>
      </c>
      <c r="F25" s="4">
        <f>-PMT($E$6,F19,F24,0,1)</f>
        <v>0.13876394047626628</v>
      </c>
      <c r="G25" s="4">
        <f>-PMT($E$6,G19,G24,0,1)</f>
        <v>0.12668836436422665</v>
      </c>
      <c r="H25" s="4">
        <f>-PMT($E$6,H19,H24,0,1)</f>
        <v>0.1</v>
      </c>
      <c r="I25" s="3"/>
      <c r="J25" s="4">
        <f>J24*($E$6-$E$5)/(1-((1+$E$5)/(1+$E$6))^J19)/(1+$E$6)</f>
        <v>0.10239156663275982</v>
      </c>
      <c r="K25" s="4">
        <f>K24*($E$6-$E$5)/(1-((1+$E$5)/(1+$E$6))^K19)/(1+$E$6)</f>
        <v>0.13590743222967044</v>
      </c>
      <c r="L25" s="4">
        <f>L24*($E$6-$E$5)/(1-((1+$E$5)/(1+$E$6))^L19)/(1+$E$6)</f>
        <v>0.12322582724110509</v>
      </c>
      <c r="M25" s="4">
        <f>M24*($E$6-$E$5)/(1-((1+$E$5)/(1+$E$6))^M19)/(1+$E$6)</f>
        <v>9.9999999999999742E-2</v>
      </c>
      <c r="O25" s="7"/>
      <c r="P25" s="3"/>
      <c r="Q25" s="3"/>
      <c r="T25" s="3"/>
      <c r="U25" s="3"/>
    </row>
    <row r="26" spans="2:21" x14ac:dyDescent="0.35">
      <c r="B26" s="15" t="s">
        <v>27</v>
      </c>
      <c r="E26" s="3"/>
      <c r="F26" s="3"/>
      <c r="G26" s="3"/>
      <c r="H26" s="3"/>
      <c r="I26" s="3"/>
      <c r="J26" s="3"/>
      <c r="K26" s="3"/>
      <c r="L26" s="3"/>
      <c r="M26" s="3"/>
      <c r="O26" s="7"/>
      <c r="P26" s="3"/>
      <c r="Q26" s="3"/>
      <c r="T26" s="3"/>
      <c r="U26" s="3"/>
    </row>
    <row r="27" spans="2:21" x14ac:dyDescent="0.35">
      <c r="C27" t="s">
        <v>26</v>
      </c>
      <c r="E27" s="4">
        <f>E25*(1+$F$5)^($E$7-E20)</f>
        <v>0.11579721384410162</v>
      </c>
      <c r="F27" s="4">
        <f>F25*(1+$F$5)^($E$7-F20)</f>
        <v>0.14084539958340386</v>
      </c>
      <c r="G27" s="4">
        <f>G25*(1+$F$5)^($E$7-G20)</f>
        <v>0.14061590789353201</v>
      </c>
      <c r="H27" s="4">
        <f>H25*(1+$F$5)^($E$7-H20)</f>
        <v>0.10614068452903316</v>
      </c>
      <c r="I27" s="3"/>
      <c r="J27" s="4">
        <f>J25*(1+$F$5)^($E$7-J20)</f>
        <v>0.10392744013224647</v>
      </c>
      <c r="K27" s="4">
        <f>K25*(1+$F$5)^($E$7-K20)</f>
        <v>0.1379460437131092</v>
      </c>
      <c r="L27" s="4">
        <f>L25*(1+$F$5)^($E$7-L20)</f>
        <v>0.13677271516130127</v>
      </c>
      <c r="M27" s="4">
        <f>M25*(1+$F$5)^($E$7-M20)</f>
        <v>0.10614068452903289</v>
      </c>
      <c r="O27" s="7"/>
      <c r="T27" s="3"/>
      <c r="U27" s="3"/>
    </row>
    <row r="28" spans="2:21" x14ac:dyDescent="0.35">
      <c r="C28" t="s">
        <v>46</v>
      </c>
      <c r="E28" s="4">
        <f>MEDIAN(E27:F27)</f>
        <v>0.12832130671375275</v>
      </c>
      <c r="F28" s="3"/>
      <c r="G28" s="4">
        <f>MEDIAN(G27:H27)</f>
        <v>0.12337829621128259</v>
      </c>
      <c r="H28" s="3"/>
      <c r="I28" s="3"/>
      <c r="J28" s="4">
        <f>MEDIAN(J27:K27)</f>
        <v>0.12093674192267784</v>
      </c>
      <c r="K28" s="3"/>
      <c r="L28" s="4">
        <f>MEDIAN(L27:M27)</f>
        <v>0.12145669984516708</v>
      </c>
      <c r="M28" s="3"/>
      <c r="T28" s="3"/>
      <c r="U28" s="3"/>
    </row>
    <row r="29" spans="2:21" x14ac:dyDescent="0.35">
      <c r="E29" s="4"/>
      <c r="F29" s="3"/>
      <c r="G29" s="4"/>
      <c r="H29" s="3"/>
      <c r="I29" s="3"/>
      <c r="J29" s="4"/>
      <c r="K29" s="3"/>
      <c r="L29" s="4"/>
      <c r="M29" s="3"/>
      <c r="T29" s="3"/>
      <c r="U29" s="3"/>
    </row>
    <row r="30" spans="2:21" x14ac:dyDescent="0.35">
      <c r="B30" s="14" t="s">
        <v>28</v>
      </c>
      <c r="C30" s="8"/>
      <c r="D30" s="8"/>
      <c r="E30" s="8" t="s">
        <v>8</v>
      </c>
      <c r="F30" s="8"/>
      <c r="G30" s="8"/>
      <c r="H30" s="8"/>
      <c r="I30" s="8"/>
      <c r="J30" s="8" t="s">
        <v>9</v>
      </c>
      <c r="K30" s="8"/>
      <c r="L30" s="8"/>
      <c r="M30" s="8"/>
      <c r="T30" s="3"/>
      <c r="U30" s="3"/>
    </row>
    <row r="31" spans="2:21" x14ac:dyDescent="0.35">
      <c r="B31" s="15"/>
      <c r="C31" t="s">
        <v>45</v>
      </c>
      <c r="E31" t="s">
        <v>29</v>
      </c>
      <c r="F31" t="s">
        <v>30</v>
      </c>
      <c r="G31" t="s">
        <v>31</v>
      </c>
      <c r="H31" t="s">
        <v>32</v>
      </c>
      <c r="J31" t="s">
        <v>29</v>
      </c>
      <c r="K31" t="s">
        <v>30</v>
      </c>
      <c r="L31" t="s">
        <v>31</v>
      </c>
      <c r="M31" t="s">
        <v>32</v>
      </c>
      <c r="T31" s="3"/>
      <c r="U31" s="3"/>
    </row>
    <row r="32" spans="2:21" x14ac:dyDescent="0.35">
      <c r="C32" t="s">
        <v>15</v>
      </c>
      <c r="E32" s="6">
        <v>700</v>
      </c>
      <c r="F32" s="6">
        <v>700</v>
      </c>
      <c r="G32" s="6">
        <v>2600</v>
      </c>
      <c r="H32" s="6">
        <v>2600</v>
      </c>
      <c r="J32" s="6">
        <v>700</v>
      </c>
      <c r="K32" s="6">
        <v>700</v>
      </c>
      <c r="L32" s="6">
        <v>2600</v>
      </c>
      <c r="M32" s="6">
        <v>2600</v>
      </c>
      <c r="T32" s="3"/>
      <c r="U32" s="3"/>
    </row>
    <row r="33" spans="2:21" x14ac:dyDescent="0.35">
      <c r="C33" t="s">
        <v>33</v>
      </c>
      <c r="E33" s="4">
        <f>$E$28</f>
        <v>0.12832130671375275</v>
      </c>
      <c r="F33" s="4">
        <f>$E$28</f>
        <v>0.12832130671375275</v>
      </c>
      <c r="G33" s="4">
        <f>$G$28</f>
        <v>0.12337829621128259</v>
      </c>
      <c r="H33" s="4">
        <f>$G$28</f>
        <v>0.12337829621128259</v>
      </c>
      <c r="I33" s="3"/>
      <c r="J33" s="4">
        <f>$J$28</f>
        <v>0.12093674192267784</v>
      </c>
      <c r="K33" s="4">
        <f>$J$28</f>
        <v>0.12093674192267784</v>
      </c>
      <c r="L33" s="4">
        <f>$L$28</f>
        <v>0.12145669984516708</v>
      </c>
      <c r="M33" s="4">
        <f>$L$28</f>
        <v>0.12145669984516708</v>
      </c>
      <c r="T33" s="3"/>
      <c r="U33" s="3"/>
    </row>
    <row r="34" spans="2:21" x14ac:dyDescent="0.35">
      <c r="C34" t="s">
        <v>34</v>
      </c>
      <c r="E34" s="5">
        <v>46921</v>
      </c>
      <c r="F34" s="5">
        <v>47391</v>
      </c>
      <c r="G34" s="5">
        <v>47483</v>
      </c>
      <c r="H34" s="5">
        <v>47688</v>
      </c>
      <c r="J34" s="5">
        <v>46921</v>
      </c>
      <c r="K34" s="5">
        <v>47391</v>
      </c>
      <c r="L34" s="5">
        <v>47483</v>
      </c>
      <c r="M34" s="5">
        <v>47688</v>
      </c>
      <c r="T34" s="3"/>
      <c r="U34" s="3"/>
    </row>
    <row r="35" spans="2:21" x14ac:dyDescent="0.35">
      <c r="C35" t="s">
        <v>35</v>
      </c>
      <c r="E35" s="5">
        <f>DATE(YEAR(E34)+20,MONTH(E34),DAY(E34)-1)</f>
        <v>54225</v>
      </c>
      <c r="F35" s="5">
        <f>DATE(YEAR(F34)+20,MONTH(F34),DAY(F34)-1)</f>
        <v>54695</v>
      </c>
      <c r="G35" s="5">
        <f>DATE(YEAR(G34)+20,MONTH(G34),DAY(G34)-1)</f>
        <v>54787</v>
      </c>
      <c r="H35" s="5">
        <f>DATE(YEAR(H34)+20,MONTH(H34),DAY(H34)-1)</f>
        <v>54992</v>
      </c>
      <c r="J35" s="5">
        <f>DATE(YEAR(J34)+20,MONTH(J34),DAY(J34)-1)</f>
        <v>54225</v>
      </c>
      <c r="K35" s="5">
        <f>DATE(YEAR(K34)+20,MONTH(K34),DAY(K34)-1)</f>
        <v>54695</v>
      </c>
      <c r="L35" s="5">
        <f>DATE(YEAR(L34)+20,MONTH(L34),DAY(L34)-1)</f>
        <v>54787</v>
      </c>
      <c r="M35" s="5">
        <f>DATE(YEAR(M34)+20,MONTH(M34),DAY(M34)-1)</f>
        <v>54992</v>
      </c>
      <c r="T35" s="3"/>
      <c r="U35" s="3"/>
    </row>
    <row r="36" spans="2:21" x14ac:dyDescent="0.35">
      <c r="B36" s="15" t="s">
        <v>36</v>
      </c>
      <c r="T36" s="3"/>
      <c r="U36" s="3"/>
    </row>
    <row r="37" spans="2:21" x14ac:dyDescent="0.35">
      <c r="C37" t="s">
        <v>37</v>
      </c>
      <c r="E37" s="4">
        <f>E33*(1+$F$5)^(E$34-$E$7)</f>
        <v>0.13411167996875586</v>
      </c>
      <c r="F37" s="4">
        <f>F33*(1+$F$5)^(F$34-$E$7)</f>
        <v>0.1367076253000015</v>
      </c>
      <c r="G37" s="4">
        <f>G33*(1+$F$5)^(G$34-$E$7)</f>
        <v>0.13193576253970124</v>
      </c>
      <c r="H37" s="4">
        <f>H33*(1+$F$5)^(H$34-$E$7)</f>
        <v>0.13304364790728057</v>
      </c>
      <c r="I37" s="3"/>
      <c r="J37" s="4">
        <f>J33*(1+$F$5)^(J$34-$E$7)</f>
        <v>0.12639389392580061</v>
      </c>
      <c r="K37" s="4">
        <f>K33*(1+$F$5)^(K$34-$E$7)</f>
        <v>0.12884044920652693</v>
      </c>
      <c r="L37" s="4">
        <f>L33*(1+$F$5)^(L$34-$E$7)</f>
        <v>0.12988088506414583</v>
      </c>
      <c r="M37" s="4">
        <f>M33*(1+$F$5)^(M$34-$E$7)</f>
        <v>0.1309715153020809</v>
      </c>
      <c r="T37" s="3"/>
      <c r="U37" s="3"/>
    </row>
    <row r="38" spans="2:21" x14ac:dyDescent="0.35">
      <c r="B38" s="15" t="s">
        <v>38</v>
      </c>
      <c r="T38" s="3"/>
      <c r="U38" s="3"/>
    </row>
    <row r="39" spans="2:21" x14ac:dyDescent="0.35">
      <c r="C39" t="s">
        <v>39</v>
      </c>
      <c r="E39" s="17">
        <f>-PMT($F$6,365,E37,,1)</f>
        <v>3.81709224984739E-4</v>
      </c>
      <c r="F39" s="17">
        <f>-PMT($F$6,365,F37,,1)</f>
        <v>3.8909781545443838E-4</v>
      </c>
      <c r="G39" s="17">
        <f>-PMT($F$6,365,G37,,1)</f>
        <v>3.7551611968869976E-4</v>
      </c>
      <c r="H39" s="17">
        <f>-PMT($F$6,365,H37,,1)</f>
        <v>3.7866938766005883E-4</v>
      </c>
      <c r="I39" s="18"/>
      <c r="J39" s="17">
        <f>J37*($F$6-$F$5)/(1-((1+$F$5)/(1+$F$6))^365)/(1+$F$6)</f>
        <v>3.5711281749629964E-4</v>
      </c>
      <c r="K39" s="17">
        <f>K37*($F$6-$F$5)/(1-((1+$F$5)/(1+$F$6))^365)/(1+$F$6)</f>
        <v>3.64025305293958E-4</v>
      </c>
      <c r="L39" s="17">
        <f>L37*($F$6-$F$5)/(1-((1+$F$5)/(1+$F$6))^365)/(1+$F$6)</f>
        <v>3.6696494872923808E-4</v>
      </c>
      <c r="M39" s="17">
        <f>M37*($F$6-$F$5)/(1-((1+$F$5)/(1+$F$6))^365)/(1+$F$6)</f>
        <v>3.7004641117191191E-4</v>
      </c>
      <c r="T39" s="3"/>
      <c r="U39" s="3"/>
    </row>
    <row r="40" spans="2:21" x14ac:dyDescent="0.35">
      <c r="C40" t="s">
        <v>40</v>
      </c>
      <c r="E40" s="4">
        <f>-PV($F$6,(E$35-E$34+1),E39,,1)</f>
        <v>1.4224758049608432</v>
      </c>
      <c r="F40" s="4">
        <f>-PV($F$6,(F$35-F$34+1),F39,,1)</f>
        <v>1.4500100915014209</v>
      </c>
      <c r="G40" s="4">
        <f>-PV($F$6,(G$35-G$34+1),G39,,1)</f>
        <v>1.3993966078532991</v>
      </c>
      <c r="H40" s="4">
        <f>-PV($F$6,(H$35-H$34+1),H39,,1)</f>
        <v>1.4111475614646392</v>
      </c>
      <c r="I40" s="3"/>
      <c r="J40" s="4">
        <f>J39*(1-((1+$F$5)/(1+$F$6))^(J35-J34))/($F$6-$F$5)</f>
        <v>1.493329705385074</v>
      </c>
      <c r="K40" s="4">
        <f t="shared" ref="K40:M40" si="0">K39*(1-((1+$F$5)/(1+$F$6))^(K35-K34))/($F$6-$F$5)</f>
        <v>1.5222354821049535</v>
      </c>
      <c r="L40" s="4">
        <f t="shared" si="0"/>
        <v>1.5345281152731525</v>
      </c>
      <c r="M40" s="4">
        <f t="shared" si="0"/>
        <v>1.5474137894249098</v>
      </c>
    </row>
    <row r="41" spans="2:21" x14ac:dyDescent="0.35">
      <c r="E41" s="3"/>
      <c r="F41" s="2"/>
    </row>
    <row r="42" spans="2:21" x14ac:dyDescent="0.35">
      <c r="E42" s="20"/>
      <c r="F42" s="1"/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ESL Benchmarking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Iain Little</dc:creator>
  <cp:keywords/>
  <dc:description/>
  <cp:lastModifiedBy>David Whytcross</cp:lastModifiedBy>
  <cp:revision/>
  <dcterms:created xsi:type="dcterms:W3CDTF">2024-06-07T06:13:34Z</dcterms:created>
  <dcterms:modified xsi:type="dcterms:W3CDTF">2026-03-27T03:39:12Z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2026-03-27T03:38:53Z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af25c252-ef44-48b0-bed5-ff73e466cb7b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