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acmagovau-my.sharepoint.com/personal/andrew_wallace_acma_gov_au/Documents/Documents/"/>
    </mc:Choice>
  </mc:AlternateContent>
  <xr:revisionPtr revIDLastSave="1" documentId="8_{B31AE1CE-E363-45B9-BFE9-843B75785C32}" xr6:coauthVersionLast="47" xr6:coauthVersionMax="47" xr10:uidLastSave="{DDD63320-0354-442E-9034-2606EB21A19D}"/>
  <bookViews>
    <workbookView xWindow="3900" yWindow="3900" windowWidth="21600" windowHeight="12630" xr2:uid="{61E8013C-38E5-4BDF-BA91-86A1321C4D47}"/>
  </bookViews>
  <sheets>
    <sheet name="Introduction" sheetId="1" r:id="rId1"/>
    <sheet name="percentiles" sheetId="2" r:id="rId2"/>
    <sheet name="weight_thresholds" sheetId="3" r:id="rId3"/>
    <sheet name="discount_rate" sheetId="4" r:id="rId4"/>
    <sheet name="licence_dates" sheetId="5" r:id="rId5"/>
    <sheet name="aus_data" sheetId="6" r:id="rId6"/>
    <sheet name="exchange_rates" sheetId="7" r:id="rId7"/>
    <sheet name="MSR-MHz-pop_index" sheetId="8" r:id="rId8"/>
    <sheet name="S1_benchmark_data" sheetId="9" r:id="rId9"/>
    <sheet name="S2_duration" sheetId="19" r:id="rId10"/>
    <sheet name="S3_currency" sheetId="20" r:id="rId11"/>
    <sheet name="S4_timing" sheetId="21" r:id="rId12"/>
    <sheet name="S5_allocation_weights" sheetId="11" r:id="rId13"/>
    <sheet name="S6A_cohort_data" sheetId="12" r:id="rId14"/>
    <sheet name="S6A_cohort_analysis" sheetId="13" r:id="rId15"/>
    <sheet name="S6B_num_weighting" sheetId="14" r:id="rId16"/>
    <sheet name="S6_intersection" sheetId="15" r:id="rId17"/>
    <sheet name="S7_fwd_valuations" sheetId="22" r:id="rId18"/>
    <sheet name="S8_expand_duration" sheetId="23" r:id="rId19"/>
    <sheet name="S9_prelim_valuations" sheetId="17"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 i="15" l="1" a="1"/>
  <c r="I3" i="15" s="1"/>
  <c r="I2" i="15" a="1"/>
  <c r="I2" i="15" s="1"/>
  <c r="H3" i="15" a="1"/>
  <c r="H3" i="15" s="1"/>
  <c r="H2" i="15" a="1"/>
  <c r="H2" i="15" s="1"/>
  <c r="G3" i="15" a="1"/>
  <c r="G3" i="15" s="1"/>
  <c r="G2" i="15" a="1"/>
  <c r="G2" i="15" s="1"/>
  <c r="D3" i="15" a="1"/>
  <c r="D3" i="15" s="1"/>
  <c r="D2" i="15" a="1"/>
  <c r="D2" i="15" s="1"/>
  <c r="C3" i="15" a="1"/>
  <c r="C3" i="15" s="1"/>
  <c r="C2" i="15" a="1"/>
  <c r="C2" i="15" s="1"/>
  <c r="B3" i="15" a="1"/>
  <c r="B3" i="15" s="1"/>
  <c r="B2" i="15" a="1"/>
  <c r="B2" i="15" s="1"/>
  <c r="E30" i="8"/>
  <c r="F30" i="8"/>
  <c r="G30" i="8" s="1"/>
  <c r="C6" i="13" l="1" a="1"/>
  <c r="C6" i="13" s="1"/>
  <c r="D6" i="13" a="1"/>
  <c r="D6" i="13" s="1"/>
  <c r="E6" i="13" a="1"/>
  <c r="E6" i="13" s="1"/>
  <c r="F6" i="13" a="1"/>
  <c r="F6" i="13" s="1"/>
  <c r="G6" i="13" a="1"/>
  <c r="G6" i="13" s="1"/>
  <c r="H6" i="13" a="1"/>
  <c r="H6" i="13" s="1"/>
  <c r="C5" i="13" a="1"/>
  <c r="C5" i="13" s="1"/>
  <c r="D5" i="13" a="1"/>
  <c r="D5" i="13" s="1"/>
  <c r="E5" i="13" a="1"/>
  <c r="E5" i="13" s="1"/>
  <c r="F5" i="13" a="1"/>
  <c r="F5" i="13" s="1"/>
  <c r="G5" i="13" a="1"/>
  <c r="G5" i="13" s="1"/>
  <c r="H5" i="13" a="1"/>
  <c r="H5" i="13" s="1"/>
  <c r="C4" i="13" a="1"/>
  <c r="C4" i="13" s="1"/>
  <c r="D4" i="13" a="1"/>
  <c r="D4" i="13" s="1"/>
  <c r="E4" i="13" a="1"/>
  <c r="E4" i="13" s="1"/>
  <c r="F4" i="13" a="1"/>
  <c r="F4" i="13" s="1"/>
  <c r="G4" i="13" a="1"/>
  <c r="G4" i="13" s="1"/>
  <c r="H4" i="13" a="1"/>
  <c r="H4" i="13" s="1"/>
  <c r="C2" i="13" a="1"/>
  <c r="C2" i="13" s="1"/>
  <c r="D2" i="13" a="1"/>
  <c r="D2" i="13" s="1"/>
  <c r="E2" i="13" a="1"/>
  <c r="E2" i="13" s="1"/>
  <c r="F2" i="13" a="1"/>
  <c r="F2" i="13" s="1"/>
  <c r="G2" i="13" a="1"/>
  <c r="G2" i="13" s="1"/>
  <c r="H2" i="13" a="1"/>
  <c r="H2" i="13" s="1"/>
  <c r="D3" i="13" a="1"/>
  <c r="D3" i="13" s="1"/>
  <c r="E3" i="13" a="1"/>
  <c r="E3" i="13" s="1"/>
  <c r="F3" i="13" a="1"/>
  <c r="F3" i="13" s="1"/>
  <c r="G3" i="13" a="1"/>
  <c r="G3" i="13" s="1"/>
  <c r="H3" i="13" a="1"/>
  <c r="H3" i="13" s="1"/>
  <c r="C3" i="13" a="1"/>
  <c r="C3" i="13" s="1"/>
  <c r="B5" i="13"/>
  <c r="B3" i="13"/>
  <c r="E3" i="14" l="1"/>
  <c r="E4" i="14"/>
  <c r="E5" i="14"/>
  <c r="E6" i="14"/>
  <c r="E7" i="14"/>
  <c r="E8" i="14"/>
  <c r="E9" i="14"/>
  <c r="E10" i="14"/>
  <c r="E11" i="14"/>
  <c r="E12" i="14"/>
  <c r="E13" i="14"/>
  <c r="E14" i="14"/>
  <c r="E15" i="14"/>
  <c r="E16" i="14"/>
  <c r="E17" i="14"/>
  <c r="E18" i="14"/>
  <c r="E19" i="14"/>
  <c r="E20" i="14"/>
  <c r="E21" i="14"/>
  <c r="E22" i="14"/>
  <c r="E23" i="14"/>
  <c r="E24" i="14"/>
  <c r="E25" i="14"/>
  <c r="E26" i="14"/>
  <c r="E27" i="14"/>
  <c r="E28" i="14"/>
  <c r="E29" i="14"/>
  <c r="E30" i="14"/>
  <c r="E2" i="14"/>
  <c r="E5" i="23"/>
  <c r="E4" i="23"/>
  <c r="E3" i="23"/>
  <c r="E2" i="23"/>
  <c r="D20" i="19" l="1"/>
  <c r="D8" i="19"/>
  <c r="D2" i="19"/>
  <c r="D19" i="19"/>
  <c r="D7" i="19"/>
  <c r="D3" i="19"/>
  <c r="D13" i="19"/>
  <c r="D30" i="19"/>
  <c r="D18" i="19"/>
  <c r="D6" i="19"/>
  <c r="D29" i="19"/>
  <c r="D17" i="19"/>
  <c r="D5" i="19"/>
  <c r="D4" i="19"/>
  <c r="D15" i="19"/>
  <c r="D25" i="19"/>
  <c r="D12" i="19"/>
  <c r="D11" i="19"/>
  <c r="D28" i="19"/>
  <c r="D16" i="19"/>
  <c r="D27" i="19"/>
  <c r="D26" i="19"/>
  <c r="D23" i="19"/>
  <c r="D22" i="19"/>
  <c r="D10" i="19"/>
  <c r="D14" i="19"/>
  <c r="D24" i="19"/>
  <c r="D21" i="19"/>
  <c r="D9" i="19"/>
  <c r="D3" i="20" l="1"/>
  <c r="D15" i="20"/>
  <c r="D27" i="20"/>
  <c r="D6" i="20"/>
  <c r="D8" i="20"/>
  <c r="D22" i="20"/>
  <c r="D4" i="20"/>
  <c r="D16" i="20"/>
  <c r="D28" i="20"/>
  <c r="D7" i="20"/>
  <c r="D21" i="20"/>
  <c r="D5" i="20"/>
  <c r="D17" i="20"/>
  <c r="D29" i="20"/>
  <c r="D18" i="20"/>
  <c r="D30" i="20"/>
  <c r="D20" i="20"/>
  <c r="D9" i="20"/>
  <c r="D11" i="20"/>
  <c r="D23" i="20"/>
  <c r="D12" i="20"/>
  <c r="D2" i="20"/>
  <c r="D24" i="20"/>
  <c r="D19" i="20"/>
  <c r="D10" i="20"/>
  <c r="D13" i="20"/>
  <c r="D25" i="20"/>
  <c r="D14" i="20"/>
  <c r="D26" i="20"/>
  <c r="E29" i="8"/>
  <c r="E28" i="8"/>
  <c r="E27" i="8"/>
  <c r="E26" i="8"/>
  <c r="E25" i="8"/>
  <c r="E24" i="8"/>
  <c r="E23" i="8"/>
  <c r="E22" i="8"/>
  <c r="E21" i="8"/>
  <c r="F23" i="8" s="1"/>
  <c r="E20" i="8"/>
  <c r="E19" i="8"/>
  <c r="E18" i="8"/>
  <c r="E17" i="8"/>
  <c r="E16" i="8"/>
  <c r="E15" i="8"/>
  <c r="E14" i="8"/>
  <c r="F13" i="8"/>
  <c r="E13" i="8"/>
  <c r="E12" i="8"/>
  <c r="E11" i="8"/>
  <c r="E10" i="8"/>
  <c r="E9" i="8"/>
  <c r="E8" i="8"/>
  <c r="E7" i="8"/>
  <c r="E6" i="8"/>
  <c r="E5" i="8"/>
  <c r="E4" i="8"/>
  <c r="E3" i="8"/>
  <c r="E2" i="8"/>
  <c r="F4" i="8" s="1"/>
  <c r="F15" i="8" l="1"/>
  <c r="F27" i="8"/>
  <c r="D9" i="21"/>
  <c r="D21" i="21"/>
  <c r="D24" i="21"/>
  <c r="D15" i="21"/>
  <c r="D16" i="21"/>
  <c r="D10" i="21"/>
  <c r="D22" i="21"/>
  <c r="D25" i="21"/>
  <c r="D11" i="21"/>
  <c r="D23" i="21"/>
  <c r="D12" i="21"/>
  <c r="D13" i="21"/>
  <c r="D3" i="21"/>
  <c r="D27" i="21"/>
  <c r="D4" i="21"/>
  <c r="D28" i="21"/>
  <c r="D5" i="21"/>
  <c r="D17" i="21"/>
  <c r="D29" i="21"/>
  <c r="D6" i="21"/>
  <c r="D18" i="21"/>
  <c r="D30" i="21"/>
  <c r="D14" i="21"/>
  <c r="D26" i="21"/>
  <c r="D7" i="21"/>
  <c r="D19" i="21"/>
  <c r="D2" i="21"/>
  <c r="D8" i="21"/>
  <c r="D20" i="21"/>
  <c r="F29" i="9"/>
  <c r="F17" i="9"/>
  <c r="F5" i="9"/>
  <c r="F24" i="8"/>
  <c r="F28" i="8"/>
  <c r="F20" i="8"/>
  <c r="F5" i="8"/>
  <c r="F10" i="8"/>
  <c r="F14" i="8"/>
  <c r="F25" i="8"/>
  <c r="F17" i="8"/>
  <c r="F26" i="8"/>
  <c r="F11" i="8"/>
  <c r="G11" i="8" s="1"/>
  <c r="F21" i="8"/>
  <c r="F8" i="8"/>
  <c r="G8" i="8" s="1"/>
  <c r="F9" i="9"/>
  <c r="F20" i="9"/>
  <c r="F8" i="9"/>
  <c r="F21" i="9"/>
  <c r="G2" i="9"/>
  <c r="G19" i="9"/>
  <c r="G7" i="9"/>
  <c r="F16" i="9"/>
  <c r="F4" i="9"/>
  <c r="F27" i="9"/>
  <c r="F15" i="9"/>
  <c r="F14" i="9"/>
  <c r="F25" i="9"/>
  <c r="F13" i="9"/>
  <c r="G6" i="9"/>
  <c r="F26" i="9"/>
  <c r="F24" i="9"/>
  <c r="F12" i="9"/>
  <c r="F30" i="9"/>
  <c r="F18" i="9"/>
  <c r="G23" i="9"/>
  <c r="G11" i="9"/>
  <c r="G22" i="9"/>
  <c r="G10" i="9"/>
  <c r="F28" i="9"/>
  <c r="F3" i="9"/>
  <c r="F6" i="9"/>
  <c r="F7" i="9"/>
  <c r="G21" i="9"/>
  <c r="G9" i="9"/>
  <c r="G20" i="9"/>
  <c r="G8" i="9"/>
  <c r="G30" i="9"/>
  <c r="G18" i="9"/>
  <c r="G29" i="9"/>
  <c r="G17" i="9"/>
  <c r="F23" i="9"/>
  <c r="F11" i="9"/>
  <c r="G28" i="9"/>
  <c r="G16" i="9"/>
  <c r="G5" i="9"/>
  <c r="F22" i="9"/>
  <c r="F10" i="9"/>
  <c r="G27" i="9"/>
  <c r="G15" i="9"/>
  <c r="G4" i="9"/>
  <c r="G26" i="9"/>
  <c r="G14" i="9"/>
  <c r="G3" i="9"/>
  <c r="G25" i="9"/>
  <c r="G13" i="9"/>
  <c r="F2" i="9"/>
  <c r="F19" i="9"/>
  <c r="G24" i="9"/>
  <c r="G12" i="9"/>
  <c r="F16" i="8"/>
  <c r="F9" i="8"/>
  <c r="F7" i="8"/>
  <c r="F12" i="8"/>
  <c r="F22" i="8"/>
  <c r="G22" i="8" s="1"/>
  <c r="F29" i="8"/>
  <c r="F6" i="8"/>
  <c r="F18" i="8"/>
  <c r="F19" i="8"/>
  <c r="I6" i="11" l="1" a="1"/>
  <c r="I6" i="11" s="1"/>
  <c r="I18" i="11" a="1"/>
  <c r="I18" i="11" s="1"/>
  <c r="I30" i="11" a="1"/>
  <c r="I30" i="11" s="1"/>
  <c r="H8" i="11" a="1"/>
  <c r="H8" i="11" s="1"/>
  <c r="H14" i="11" a="1"/>
  <c r="H14" i="11" s="1"/>
  <c r="H20" i="11" a="1"/>
  <c r="H20" i="11" s="1"/>
  <c r="H28" i="11" a="1"/>
  <c r="H28" i="11" s="1"/>
  <c r="I7" i="11" a="1"/>
  <c r="I7" i="11" s="1"/>
  <c r="I19" i="11" a="1"/>
  <c r="I19" i="11" s="1"/>
  <c r="H21" i="11" a="1"/>
  <c r="H21" i="11" s="1"/>
  <c r="H29" i="11" a="1"/>
  <c r="H29" i="11" s="1"/>
  <c r="G7" i="11" a="1"/>
  <c r="G7" i="11" s="1"/>
  <c r="G19" i="11" a="1"/>
  <c r="G19" i="11" s="1"/>
  <c r="G25" i="11" a="1"/>
  <c r="G25" i="11" s="1"/>
  <c r="I20" i="11" a="1"/>
  <c r="I20" i="11" s="1"/>
  <c r="H15" i="11" a="1"/>
  <c r="H15" i="11" s="1"/>
  <c r="I9" i="11" a="1"/>
  <c r="I9" i="11" s="1"/>
  <c r="G20" i="11" a="1"/>
  <c r="G20" i="11" s="1"/>
  <c r="G12" i="11" a="1"/>
  <c r="G12" i="11" s="1"/>
  <c r="I2" i="11" a="1"/>
  <c r="I2" i="11" s="1"/>
  <c r="G13" i="11" a="1"/>
  <c r="G13" i="11" s="1"/>
  <c r="G2" i="11" a="1"/>
  <c r="G2" i="11" s="1"/>
  <c r="J2" i="11" s="1"/>
  <c r="H3" i="11" a="1"/>
  <c r="H3" i="11" s="1"/>
  <c r="H22" i="11" a="1"/>
  <c r="H22" i="11" s="1"/>
  <c r="I21" i="11" a="1"/>
  <c r="I21" i="11" s="1"/>
  <c r="G14" i="11" a="1"/>
  <c r="G14" i="11" s="1"/>
  <c r="I17" i="11" a="1"/>
  <c r="I17" i="11" s="1"/>
  <c r="G24" i="11" a="1"/>
  <c r="G24" i="11" s="1"/>
  <c r="I8" i="11" a="1"/>
  <c r="I8" i="11" s="1"/>
  <c r="H9" i="11" a="1"/>
  <c r="H9" i="11" s="1"/>
  <c r="H30" i="11" a="1"/>
  <c r="H30" i="11" s="1"/>
  <c r="G8" i="11" a="1"/>
  <c r="G8" i="11" s="1"/>
  <c r="I29" i="11" a="1"/>
  <c r="I29" i="11" s="1"/>
  <c r="G30" i="11" a="1"/>
  <c r="G30" i="11" s="1"/>
  <c r="J30" i="11" s="1"/>
  <c r="G26" i="11" a="1"/>
  <c r="G26" i="11" s="1"/>
  <c r="I10" i="11" a="1"/>
  <c r="I10" i="11" s="1"/>
  <c r="I22" i="11" a="1"/>
  <c r="I22" i="11" s="1"/>
  <c r="H4" i="11" a="1"/>
  <c r="H4" i="11" s="1"/>
  <c r="H10" i="11" a="1"/>
  <c r="H10" i="11" s="1"/>
  <c r="H16" i="11" a="1"/>
  <c r="H16" i="11" s="1"/>
  <c r="H23" i="11" a="1"/>
  <c r="H23" i="11" s="1"/>
  <c r="H2" i="11" a="1"/>
  <c r="H2" i="11" s="1"/>
  <c r="I25" i="11" a="1"/>
  <c r="I25" i="11" s="1"/>
  <c r="G10" i="11" a="1"/>
  <c r="G10" i="11" s="1"/>
  <c r="G28" i="11" a="1"/>
  <c r="G28" i="11" s="1"/>
  <c r="I26" i="11" a="1"/>
  <c r="I26" i="11" s="1"/>
  <c r="H12" i="11" a="1"/>
  <c r="H12" i="11" s="1"/>
  <c r="H25" i="11" a="1"/>
  <c r="H25" i="11" s="1"/>
  <c r="I15" i="11" a="1"/>
  <c r="I15" i="11" s="1"/>
  <c r="G5" i="11" a="1"/>
  <c r="G5" i="11" s="1"/>
  <c r="I16" i="11" a="1"/>
  <c r="I16" i="11" s="1"/>
  <c r="H13" i="11" a="1"/>
  <c r="H13" i="11" s="1"/>
  <c r="G18" i="11" a="1"/>
  <c r="G18" i="11" s="1"/>
  <c r="I11" i="11" a="1"/>
  <c r="I11" i="11" s="1"/>
  <c r="I23" i="11" a="1"/>
  <c r="I23" i="11" s="1"/>
  <c r="G3" i="11" a="1"/>
  <c r="G3" i="11" s="1"/>
  <c r="G9" i="11" a="1"/>
  <c r="G9" i="11" s="1"/>
  <c r="J9" i="11" s="1"/>
  <c r="G15" i="11" a="1"/>
  <c r="G15" i="11" s="1"/>
  <c r="J15" i="11" s="1"/>
  <c r="G21" i="11" a="1"/>
  <c r="G21" i="11" s="1"/>
  <c r="J21" i="11" s="1"/>
  <c r="G27" i="11" a="1"/>
  <c r="G27" i="11" s="1"/>
  <c r="I13" i="11" a="1"/>
  <c r="I13" i="11" s="1"/>
  <c r="G4" i="11" a="1"/>
  <c r="G4" i="11" s="1"/>
  <c r="G22" i="11" a="1"/>
  <c r="G22" i="11" s="1"/>
  <c r="J22" i="11" s="1"/>
  <c r="I14" i="11" a="1"/>
  <c r="I14" i="11" s="1"/>
  <c r="H6" i="11" a="1"/>
  <c r="H6" i="11" s="1"/>
  <c r="I27" i="11" a="1"/>
  <c r="I27" i="11" s="1"/>
  <c r="G11" i="11" a="1"/>
  <c r="G11" i="11" s="1"/>
  <c r="G23" i="11" a="1"/>
  <c r="G23" i="11" s="1"/>
  <c r="J23" i="11" s="1"/>
  <c r="I28" i="11" a="1"/>
  <c r="I28" i="11" s="1"/>
  <c r="H19" i="11" a="1"/>
  <c r="H19" i="11" s="1"/>
  <c r="H27" i="11" a="1"/>
  <c r="H27" i="11" s="1"/>
  <c r="I12" i="11" a="1"/>
  <c r="I12" i="11" s="1"/>
  <c r="I24" i="11" a="1"/>
  <c r="I24" i="11" s="1"/>
  <c r="H5" i="11" a="1"/>
  <c r="H5" i="11" s="1"/>
  <c r="H11" i="11" a="1"/>
  <c r="H11" i="11" s="1"/>
  <c r="H17" i="11" a="1"/>
  <c r="H17" i="11" s="1"/>
  <c r="H24" i="11" a="1"/>
  <c r="H24" i="11" s="1"/>
  <c r="G16" i="11" a="1"/>
  <c r="G16" i="11" s="1"/>
  <c r="H18" i="11" a="1"/>
  <c r="H18" i="11" s="1"/>
  <c r="I3" i="11" a="1"/>
  <c r="I3" i="11" s="1"/>
  <c r="G17" i="11" a="1"/>
  <c r="G17" i="11" s="1"/>
  <c r="J17" i="11" s="1"/>
  <c r="G29" i="11" a="1"/>
  <c r="G29" i="11" s="1"/>
  <c r="J29" i="11" s="1"/>
  <c r="I4" i="11" a="1"/>
  <c r="I4" i="11" s="1"/>
  <c r="H7" i="11" a="1"/>
  <c r="H7" i="11" s="1"/>
  <c r="H26" i="11" a="1"/>
  <c r="H26" i="11" s="1"/>
  <c r="I5" i="11" a="1"/>
  <c r="I5" i="11" s="1"/>
  <c r="G6" i="11" a="1"/>
  <c r="G6" i="11" s="1"/>
  <c r="J6" i="11" s="1"/>
  <c r="G2" i="19"/>
  <c r="G6" i="19"/>
  <c r="G18" i="19"/>
  <c r="G30" i="19"/>
  <c r="G7" i="19"/>
  <c r="G19" i="19"/>
  <c r="G8" i="19"/>
  <c r="G20" i="19"/>
  <c r="G10" i="19"/>
  <c r="G22" i="19"/>
  <c r="G11" i="19"/>
  <c r="G23" i="19"/>
  <c r="G16" i="19"/>
  <c r="G17" i="19"/>
  <c r="G29" i="19"/>
  <c r="G9" i="19"/>
  <c r="G21" i="19"/>
  <c r="G12" i="19"/>
  <c r="G24" i="19"/>
  <c r="G13" i="19"/>
  <c r="G25" i="19"/>
  <c r="G14" i="19"/>
  <c r="G26" i="19"/>
  <c r="G3" i="19"/>
  <c r="G15" i="19"/>
  <c r="G27" i="19"/>
  <c r="G4" i="19"/>
  <c r="G28" i="19"/>
  <c r="G5" i="19"/>
  <c r="G6" i="8"/>
  <c r="G29" i="8"/>
  <c r="I10" i="7"/>
  <c r="I22" i="7"/>
  <c r="I24" i="7"/>
  <c r="I13" i="7"/>
  <c r="I3" i="7"/>
  <c r="I19" i="7"/>
  <c r="I7" i="7"/>
  <c r="I16" i="7"/>
  <c r="I8" i="7"/>
  <c r="I6" i="7"/>
  <c r="I14" i="7"/>
  <c r="I9" i="7"/>
  <c r="I17" i="7"/>
  <c r="I28" i="7"/>
  <c r="I5" i="7"/>
  <c r="I12" i="7"/>
  <c r="I20" i="7"/>
  <c r="I15" i="7"/>
  <c r="I25" i="7"/>
  <c r="I2" i="7"/>
  <c r="I4" i="7"/>
  <c r="I11" i="7"/>
  <c r="I18" i="7"/>
  <c r="I26" i="7"/>
  <c r="I21" i="7"/>
  <c r="I29" i="7"/>
  <c r="I23" i="7"/>
  <c r="I30" i="7"/>
  <c r="I27" i="7"/>
  <c r="G26" i="8"/>
  <c r="G9" i="8"/>
  <c r="G27" i="8"/>
  <c r="G16" i="8"/>
  <c r="G10" i="8"/>
  <c r="G4" i="8"/>
  <c r="G5" i="8"/>
  <c r="G23" i="8"/>
  <c r="G14" i="8"/>
  <c r="G20" i="8"/>
  <c r="G21" i="8"/>
  <c r="G7" i="8"/>
  <c r="G19" i="8"/>
  <c r="G13" i="8"/>
  <c r="G15" i="8"/>
  <c r="G12" i="8"/>
  <c r="G25" i="8"/>
  <c r="G17" i="8"/>
  <c r="G18" i="8"/>
  <c r="G28" i="8"/>
  <c r="G24" i="8"/>
  <c r="D3" i="5"/>
  <c r="D2" i="5"/>
  <c r="J10" i="11" l="1"/>
  <c r="J8" i="11"/>
  <c r="J20" i="11"/>
  <c r="F18" i="20"/>
  <c r="J26" i="11"/>
  <c r="J28" i="11"/>
  <c r="J13" i="11"/>
  <c r="J3" i="11"/>
  <c r="J12" i="11"/>
  <c r="J11" i="11"/>
  <c r="J16" i="11"/>
  <c r="J18" i="11"/>
  <c r="J24" i="11"/>
  <c r="J4" i="11"/>
  <c r="J5" i="11"/>
  <c r="J14" i="11"/>
  <c r="J25" i="11"/>
  <c r="J19" i="11"/>
  <c r="J27" i="11"/>
  <c r="J7" i="11"/>
  <c r="F6" i="20" l="1"/>
  <c r="G21" i="20"/>
  <c r="G23" i="20"/>
  <c r="G30" i="20"/>
  <c r="F20" i="20"/>
  <c r="F10" i="20"/>
  <c r="G11" i="20"/>
  <c r="F27" i="20"/>
  <c r="G18" i="20"/>
  <c r="F8" i="20"/>
  <c r="G27" i="20"/>
  <c r="G2" i="20"/>
  <c r="G26" i="20"/>
  <c r="F22" i="20"/>
  <c r="G6" i="20"/>
  <c r="G25" i="20"/>
  <c r="G15" i="20"/>
  <c r="F13" i="20"/>
  <c r="F3" i="20"/>
  <c r="G3" i="20"/>
  <c r="F25" i="20"/>
  <c r="G14" i="20"/>
  <c r="G9" i="20"/>
  <c r="F24" i="20"/>
  <c r="G13" i="20"/>
  <c r="G20" i="20"/>
  <c r="F12" i="20"/>
  <c r="F29" i="20"/>
  <c r="F19" i="20"/>
  <c r="G4" i="20"/>
  <c r="F15" i="20"/>
  <c r="F17" i="20"/>
  <c r="G8" i="20"/>
  <c r="G29" i="20"/>
  <c r="G22" i="20"/>
  <c r="F7" i="20"/>
  <c r="G10" i="20"/>
  <c r="F14" i="20"/>
  <c r="G5" i="20"/>
  <c r="F11" i="20"/>
  <c r="G12" i="20"/>
  <c r="F5" i="20"/>
  <c r="G17" i="20"/>
  <c r="G24" i="20"/>
  <c r="F28" i="20"/>
  <c r="G19" i="20"/>
  <c r="F21" i="20"/>
  <c r="G28" i="20"/>
  <c r="F30" i="20"/>
  <c r="F4" i="20"/>
  <c r="F26" i="20"/>
  <c r="F23" i="20"/>
  <c r="F16" i="20"/>
  <c r="G7" i="20"/>
  <c r="F9" i="20"/>
  <c r="G16" i="20"/>
  <c r="F2" i="20" l="1"/>
  <c r="H2" i="21" s="1"/>
  <c r="H5" i="21" l="1"/>
  <c r="I24" i="21"/>
  <c r="H29" i="21"/>
  <c r="H13" i="21"/>
  <c r="H17" i="21"/>
  <c r="I27" i="21"/>
  <c r="I15" i="21"/>
  <c r="H6" i="21"/>
  <c r="H15" i="21"/>
  <c r="H3" i="21"/>
  <c r="H28" i="21"/>
  <c r="I29" i="21"/>
  <c r="H8" i="21"/>
  <c r="H27" i="21"/>
  <c r="H16" i="21"/>
  <c r="I14" i="21"/>
  <c r="H10" i="21"/>
  <c r="I30" i="21"/>
  <c r="I18" i="21"/>
  <c r="I3" i="21"/>
  <c r="H26" i="21"/>
  <c r="I8" i="21"/>
  <c r="H4" i="21"/>
  <c r="I7" i="21"/>
  <c r="H22" i="21"/>
  <c r="I6" i="21"/>
  <c r="H18" i="21"/>
  <c r="I10" i="21"/>
  <c r="H23" i="21"/>
  <c r="I21" i="21"/>
  <c r="I9" i="21"/>
  <c r="I16" i="21"/>
  <c r="H25" i="21"/>
  <c r="I12" i="21"/>
  <c r="H30" i="21"/>
  <c r="I5" i="21"/>
  <c r="I4" i="21"/>
  <c r="I22" i="21"/>
  <c r="H24" i="21"/>
  <c r="I23" i="21"/>
  <c r="H12" i="21"/>
  <c r="H20" i="21"/>
  <c r="I11" i="21"/>
  <c r="I20" i="21"/>
  <c r="I17" i="21"/>
  <c r="I25" i="21"/>
  <c r="H14" i="21"/>
  <c r="I13" i="21"/>
  <c r="H21" i="21"/>
  <c r="I2" i="21"/>
  <c r="H11" i="21"/>
  <c r="H19" i="21"/>
  <c r="H9" i="21"/>
  <c r="I19" i="21"/>
  <c r="I28" i="21"/>
  <c r="H7" i="21"/>
  <c r="I26" i="21"/>
  <c r="M5" i="14" l="1"/>
  <c r="N5" i="14" s="1"/>
  <c r="O5" i="14" s="1"/>
  <c r="M4" i="14"/>
  <c r="N4" i="14" s="1"/>
  <c r="O4" i="14" s="1"/>
  <c r="M23" i="14"/>
  <c r="N23" i="14" s="1"/>
  <c r="O23" i="14" s="1"/>
  <c r="M15" i="14"/>
  <c r="N15" i="14" s="1"/>
  <c r="O15" i="14" s="1"/>
  <c r="M14" i="14"/>
  <c r="N14" i="14" s="1"/>
  <c r="M29" i="14"/>
  <c r="N29" i="14" s="1"/>
  <c r="O29" i="14" s="1"/>
  <c r="M19" i="14"/>
  <c r="N19" i="14" s="1"/>
  <c r="O19" i="14" s="1"/>
  <c r="M12" i="14"/>
  <c r="N12" i="14" s="1"/>
  <c r="O12" i="14" s="1"/>
  <c r="M24" i="14"/>
  <c r="N24" i="14" s="1"/>
  <c r="O24" i="14" s="1"/>
  <c r="M28" i="14"/>
  <c r="N28" i="14" s="1"/>
  <c r="O28" i="14" s="1"/>
  <c r="M25" i="14"/>
  <c r="N25" i="14" s="1"/>
  <c r="O25" i="14" s="1"/>
  <c r="M22" i="14"/>
  <c r="N22" i="14" s="1"/>
  <c r="O22" i="14" s="1"/>
  <c r="M16" i="14"/>
  <c r="N16" i="14" s="1"/>
  <c r="O16" i="14" s="1"/>
  <c r="M21" i="14"/>
  <c r="N21" i="14" s="1"/>
  <c r="O21" i="14" s="1"/>
  <c r="M10" i="14"/>
  <c r="N10" i="14" s="1"/>
  <c r="O10" i="14" s="1"/>
  <c r="M27" i="14"/>
  <c r="N27" i="14" s="1"/>
  <c r="O27" i="14" s="1"/>
  <c r="M30" i="14"/>
  <c r="N30" i="14" s="1"/>
  <c r="O30" i="14" s="1"/>
  <c r="M8" i="14"/>
  <c r="N8" i="14" s="1"/>
  <c r="O8" i="14" s="1"/>
  <c r="M9" i="14"/>
  <c r="N9" i="14" s="1"/>
  <c r="O9" i="14" s="1"/>
  <c r="M3" i="14"/>
  <c r="N3" i="14" s="1"/>
  <c r="O3" i="14" s="1"/>
  <c r="M26" i="14"/>
  <c r="N26" i="14" s="1"/>
  <c r="O26" i="14" s="1"/>
  <c r="M20" i="14"/>
  <c r="N20" i="14" s="1"/>
  <c r="O20" i="14" s="1"/>
  <c r="M2" i="14"/>
  <c r="N2" i="14" s="1"/>
  <c r="O2" i="14" s="1"/>
  <c r="M18" i="14"/>
  <c r="N18" i="14" s="1"/>
  <c r="O18" i="14" s="1"/>
  <c r="M13" i="14"/>
  <c r="N13" i="14" s="1"/>
  <c r="O13" i="14" s="1"/>
  <c r="M11" i="14"/>
  <c r="N11" i="14" s="1"/>
  <c r="O11" i="14" s="1"/>
  <c r="M6" i="14"/>
  <c r="N6" i="14" s="1"/>
  <c r="O6" i="14" s="1"/>
  <c r="M7" i="14"/>
  <c r="N7" i="14" s="1"/>
  <c r="O7" i="14" s="1"/>
  <c r="M17" i="14"/>
  <c r="N17" i="14" s="1"/>
  <c r="O17" i="14" s="1"/>
  <c r="I16" i="14" l="1"/>
  <c r="J16" i="14" s="1"/>
  <c r="K16" i="14" s="1"/>
  <c r="I10" i="14"/>
  <c r="J10" i="14" s="1"/>
  <c r="K10" i="14" s="1"/>
  <c r="I26" i="14"/>
  <c r="J26" i="14" s="1"/>
  <c r="K26" i="14" s="1"/>
  <c r="I2" i="14"/>
  <c r="J2" i="14" s="1"/>
  <c r="K2" i="14" s="1"/>
  <c r="I12" i="14"/>
  <c r="J12" i="14" s="1"/>
  <c r="K12" i="14" s="1"/>
  <c r="I29" i="14"/>
  <c r="J29" i="14" s="1"/>
  <c r="K29" i="14" s="1"/>
  <c r="I27" i="14"/>
  <c r="J27" i="14" s="1"/>
  <c r="I24" i="14"/>
  <c r="J24" i="14" s="1"/>
  <c r="K24" i="14" s="1"/>
  <c r="I28" i="14"/>
  <c r="J28" i="14" s="1"/>
  <c r="K28" i="14" s="1"/>
  <c r="I14" i="14"/>
  <c r="J14" i="14" s="1"/>
  <c r="I7" i="14"/>
  <c r="J7" i="14" s="1"/>
  <c r="K7" i="14" s="1"/>
  <c r="I21" i="14"/>
  <c r="J21" i="14" s="1"/>
  <c r="K21" i="14" s="1"/>
  <c r="I30" i="14"/>
  <c r="J30" i="14" s="1"/>
  <c r="K30" i="14" s="1"/>
  <c r="I20" i="14"/>
  <c r="J20" i="14" s="1"/>
  <c r="I23" i="14"/>
  <c r="J23" i="14" s="1"/>
  <c r="I11" i="14"/>
  <c r="J11" i="14" s="1"/>
  <c r="I13" i="14"/>
  <c r="J13" i="14" s="1"/>
  <c r="K13" i="14" s="1"/>
  <c r="I25" i="14"/>
  <c r="J25" i="14" s="1"/>
  <c r="I8" i="14"/>
  <c r="J8" i="14" s="1"/>
  <c r="I5" i="14"/>
  <c r="J5" i="14" s="1"/>
  <c r="K5" i="14" s="1"/>
  <c r="I4" i="14"/>
  <c r="J4" i="14" s="1"/>
  <c r="K4" i="14" s="1"/>
  <c r="I22" i="14"/>
  <c r="J22" i="14" s="1"/>
  <c r="K22" i="14" s="1"/>
  <c r="I15" i="14"/>
  <c r="J15" i="14" s="1"/>
  <c r="I19" i="14"/>
  <c r="J19" i="14" s="1"/>
  <c r="I18" i="14"/>
  <c r="J18" i="14" s="1"/>
  <c r="K18" i="14" s="1"/>
  <c r="I9" i="14"/>
  <c r="J9" i="14" s="1"/>
  <c r="K9" i="14" s="1"/>
  <c r="I6" i="14"/>
  <c r="J6" i="14" s="1"/>
  <c r="K6" i="14" s="1"/>
  <c r="I17" i="14"/>
  <c r="J17" i="14" s="1"/>
  <c r="K17" i="14" s="1"/>
  <c r="I3" i="14"/>
  <c r="J3" i="14" s="1"/>
  <c r="O14" i="14"/>
  <c r="J3" i="15" s="1"/>
  <c r="K3" i="15" s="1"/>
  <c r="J2" i="15"/>
  <c r="K2" i="15" s="1"/>
  <c r="K3" i="14" l="1"/>
  <c r="K14" i="14"/>
  <c r="K19" i="14"/>
  <c r="K15" i="14"/>
  <c r="K27" i="14"/>
  <c r="K20" i="14"/>
  <c r="K11" i="14"/>
  <c r="K8" i="14"/>
  <c r="K23" i="14"/>
  <c r="K25" i="14"/>
  <c r="F2" i="22"/>
  <c r="H2" i="22" s="1"/>
  <c r="F4" i="22"/>
  <c r="H4" i="22" s="1"/>
  <c r="F5" i="22"/>
  <c r="H5" i="22" s="1"/>
  <c r="F3" i="22"/>
  <c r="H3" i="22" s="1"/>
  <c r="E2" i="15" l="1"/>
  <c r="F2" i="15" s="1"/>
  <c r="E4" i="22" s="1"/>
  <c r="G4" i="22" s="1"/>
  <c r="E3" i="15"/>
  <c r="F3" i="15" s="1"/>
  <c r="E5" i="22" s="1"/>
  <c r="G5" i="22" s="1"/>
  <c r="E3" i="22" l="1"/>
  <c r="G3" i="22" s="1"/>
  <c r="E2" i="22"/>
  <c r="G2" i="22" s="1"/>
  <c r="H2" i="23"/>
  <c r="H3" i="23" l="1"/>
  <c r="H5" i="23"/>
  <c r="I3" i="23"/>
  <c r="I4" i="23"/>
  <c r="H4" i="23"/>
  <c r="I5" i="23"/>
  <c r="I2" i="23"/>
  <c r="E5" i="17" s="1"/>
  <c r="E4" i="17" l="1"/>
  <c r="E3" i="17"/>
  <c r="E2" i="17"/>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<sst xmlns="http://schemas.openxmlformats.org/spreadsheetml/2006/main" count="873" uniqueCount="186">
  <si>
    <t>Worksheet</t>
  </si>
  <si>
    <t>Description</t>
  </si>
  <si>
    <t>percentiles</t>
  </si>
  <si>
    <t>weight_thresholds</t>
  </si>
  <si>
    <t>Provides the weight thresholds that determine whether a benchmark price should be included in a cohort (e.g. the weight for population density must be above 0.1 for a benchmark to be included in the population density cohort).</t>
  </si>
  <si>
    <t>discount_rate</t>
  </si>
  <si>
    <t>licence_dates</t>
  </si>
  <si>
    <t>aus_data</t>
  </si>
  <si>
    <t>MSR-MHz-pop_index</t>
  </si>
  <si>
    <t>S1_benchmark_data</t>
  </si>
  <si>
    <t>The basic data for each benchmark price used. It includes allocation, timing and price details for each benchmark.</t>
  </si>
  <si>
    <t>S5_allocation_weights</t>
  </si>
  <si>
    <t>S6A_cohort_data</t>
  </si>
  <si>
    <t>S6A_cohort_analysis</t>
  </si>
  <si>
    <t>S6B_num_weighting</t>
  </si>
  <si>
    <t>S6C_intersection</t>
  </si>
  <si>
    <t>S9_prelim_valuations</t>
  </si>
  <si>
    <t>weight</t>
  </si>
  <si>
    <t>threshold</t>
  </si>
  <si>
    <t>Real GDP per capita (US$)</t>
  </si>
  <si>
    <t># of MNOs</t>
  </si>
  <si>
    <t>Population density</t>
  </si>
  <si>
    <t>band</t>
  </si>
  <si>
    <t>percentile_bound</t>
  </si>
  <si>
    <t>value</t>
  </si>
  <si>
    <t>lower</t>
  </si>
  <si>
    <t>upper</t>
  </si>
  <si>
    <t>700 MHz</t>
  </si>
  <si>
    <t>850 MHz</t>
  </si>
  <si>
    <t>band_group</t>
  </si>
  <si>
    <t>sub-1 GHz</t>
  </si>
  <si>
    <t>discount_rate_type</t>
  </si>
  <si>
    <t>discount_rate_duration</t>
  </si>
  <si>
    <t>WACC</t>
  </si>
  <si>
    <t>annual</t>
  </si>
  <si>
    <t>daily</t>
  </si>
  <si>
    <t>licence_start_date</t>
  </si>
  <si>
    <t>licence_end_date</t>
  </si>
  <si>
    <t>no_of_days</t>
  </si>
  <si>
    <t xml:space="preserve">850 MHz </t>
  </si>
  <si>
    <t>year</t>
  </si>
  <si>
    <t>metric</t>
  </si>
  <si>
    <t>source</t>
  </si>
  <si>
    <t>aus_value</t>
  </si>
  <si>
    <t>World Bank, "World Development Indicators". Series Code NY.GDP.PCAP.KD (GDP per capita (constant 2015 US$)).</t>
  </si>
  <si>
    <t>ACMA</t>
  </si>
  <si>
    <t>World Bank, "World Development Indicators". Series Code EN.POP.DNST (Population density (people per sq. km of land area)).</t>
  </si>
  <si>
    <t>World Bank, "World Development Indicators". Series Code EN.POP.DNST (Population density (people per sq. km of land area)).
Value implied based on growth between 2022 and 2023 in Series Code SP.POP.TOTL (Population, total).</t>
  </si>
  <si>
    <t>Spot exchange rate</t>
  </si>
  <si>
    <t>World Bank, "World Development Indicators". Series Code PA.NUS.FCRF (Official exchange rate (LCU per US$, period average)).</t>
  </si>
  <si>
    <t>PPP exchange rate</t>
  </si>
  <si>
    <t>World Bank, "World Development Indicators". Series Code PA.NUS.PPP (PPP conversion factor, GDP (LCU per international $)).</t>
  </si>
  <si>
    <t>Country</t>
  </si>
  <si>
    <t>Australia</t>
  </si>
  <si>
    <t>Belgium</t>
  </si>
  <si>
    <t>Canada</t>
  </si>
  <si>
    <t>Croatia</t>
  </si>
  <si>
    <t>Czechia</t>
  </si>
  <si>
    <t>Estonia</t>
  </si>
  <si>
    <t>Greece</t>
  </si>
  <si>
    <t>Hong Kong</t>
  </si>
  <si>
    <t>Hungary</t>
  </si>
  <si>
    <t>Iceland</t>
  </si>
  <si>
    <t>Italy</t>
  </si>
  <si>
    <t>Lithuania</t>
  </si>
  <si>
    <t>Luxembourg</t>
  </si>
  <si>
    <t>Norway</t>
  </si>
  <si>
    <t>Portugal</t>
  </si>
  <si>
    <t>Singapore</t>
  </si>
  <si>
    <t>Slovakia</t>
  </si>
  <si>
    <t>Slovenia</t>
  </si>
  <si>
    <t>Spain</t>
  </si>
  <si>
    <t>Sweden</t>
  </si>
  <si>
    <t>Thailand</t>
  </si>
  <si>
    <t>United Kingdom</t>
  </si>
  <si>
    <t>United States</t>
  </si>
  <si>
    <t>spectrum_band</t>
  </si>
  <si>
    <t>700 MHz &amp; 900 MHz</t>
  </si>
  <si>
    <t>600 MHz</t>
  </si>
  <si>
    <t>800 MHz &amp; 900 MHz</t>
  </si>
  <si>
    <t>900 MHz</t>
  </si>
  <si>
    <t>700 MHz &amp; 800 MHz</t>
  </si>
  <si>
    <t>allocation_year</t>
  </si>
  <si>
    <t>licence_start_date_year</t>
  </si>
  <si>
    <t>worldbank_spot</t>
  </si>
  <si>
    <t>worldbank_spot_AUD</t>
  </si>
  <si>
    <t>worldbank_PPP</t>
  </si>
  <si>
    <t>worldbank_PPP_AUD</t>
  </si>
  <si>
    <t>spot_PPP_ratio_AUD</t>
  </si>
  <si>
    <t>currency_used</t>
  </si>
  <si>
    <t>spot_exchange_rate_used</t>
  </si>
  <si>
    <t>PPP_exchange_rate_used</t>
  </si>
  <si>
    <t>local</t>
  </si>
  <si>
    <t>financial_year</t>
  </si>
  <si>
    <t>mobile_service_revenue_millions</t>
  </si>
  <si>
    <t>spectrum_holdings_MHz</t>
  </si>
  <si>
    <t>national_population_juneqtr_millions</t>
  </si>
  <si>
    <t>MSR-MHz-pop</t>
  </si>
  <si>
    <t>MSR-MHz-pop_3yr_avg</t>
  </si>
  <si>
    <t>MSR-MHz-pop_3yr_avg_base2025</t>
  </si>
  <si>
    <t>N/A</t>
  </si>
  <si>
    <t>country</t>
  </si>
  <si>
    <t>allocation_month</t>
  </si>
  <si>
    <t>duration_years</t>
  </si>
  <si>
    <t>duration_days</t>
  </si>
  <si>
    <t>total_revenue_local</t>
  </si>
  <si>
    <t>price-MHz-pop_local</t>
  </si>
  <si>
    <t>365day_price-MHz-pop_local</t>
  </si>
  <si>
    <t>365day_price-MHz-pop_AUD_spot-FX</t>
  </si>
  <si>
    <t>365day_price-MHz-pop_AUD_PPP-FX</t>
  </si>
  <si>
    <t>MSR-MHz-pop_index_value</t>
  </si>
  <si>
    <t>365day_price-MHz-pop_AUD_spot-FX_2025</t>
  </si>
  <si>
    <t>365day_price-MHz-pop_AUD_PPP-FX_2025</t>
  </si>
  <si>
    <t>GDP_per_capita_value</t>
  </si>
  <si>
    <t>no_of_MNOs_value</t>
  </si>
  <si>
    <t>popdensity_value</t>
  </si>
  <si>
    <t>GDP_per_capita_weight</t>
  </si>
  <si>
    <t>no_of_MNOs_weight</t>
  </si>
  <si>
    <t>popdensity_weight</t>
  </si>
  <si>
    <t>avg_allocation_weight</t>
  </si>
  <si>
    <t>GDP_per_capita_spot-FX_cohort</t>
  </si>
  <si>
    <t>no_of_MNOs_spot-FX_cohort</t>
  </si>
  <si>
    <t>popdensity_spot-FX_cohort</t>
  </si>
  <si>
    <t>GDP_per_capita_PPP-FX_cohort</t>
  </si>
  <si>
    <t>no_of_MNOs_PPP-FX_cohort</t>
  </si>
  <si>
    <t>popdensity_PPP-FX_cohort</t>
  </si>
  <si>
    <t>cohort_stat</t>
  </si>
  <si>
    <t>minimum</t>
  </si>
  <si>
    <t>median</t>
  </si>
  <si>
    <t>maximum</t>
  </si>
  <si>
    <t>weight_pct_contribution</t>
  </si>
  <si>
    <t>365day_price-MHz-pop_AUDspot2025</t>
  </si>
  <si>
    <t>365day_price-MHz-pop_AUDPPP2025</t>
  </si>
  <si>
    <t>rank_ascending_spot-FX</t>
  </si>
  <si>
    <t>rank_ascending_PPP-FX</t>
  </si>
  <si>
    <t>lower_percentile_spot-FX</t>
  </si>
  <si>
    <t>upper_percentile_spot-FX</t>
  </si>
  <si>
    <t>lower_percentile_PPP-FX</t>
  </si>
  <si>
    <t>upper_percentile_PPP-FX</t>
  </si>
  <si>
    <t>numweighting_bounds_spot-FX</t>
  </si>
  <si>
    <t>numweighting_bounds_PPP-FX</t>
  </si>
  <si>
    <t>bound</t>
  </si>
  <si>
    <t>GDP_per_capita_cohort_spot-FX</t>
  </si>
  <si>
    <t>no_of_MNOs_cohort_spot-FX</t>
  </si>
  <si>
    <t>popdensity_cohort_spot-FX</t>
  </si>
  <si>
    <t>numweighting_spot-FX</t>
  </si>
  <si>
    <t>combined_spot-FX</t>
  </si>
  <si>
    <t>GDP_per_capita_cohort_PPP-FX</t>
  </si>
  <si>
    <t>no_of_MNOs_cohort_PPP-FX</t>
  </si>
  <si>
    <t>popdensity_cohort_PPP-FX</t>
  </si>
  <si>
    <t>numweighting_PPP-FX</t>
  </si>
  <si>
    <t>combined_PPP-FX</t>
  </si>
  <si>
    <t>start_date</t>
  </si>
  <si>
    <t>MSR-MHz-pop_index_weighted_value</t>
  </si>
  <si>
    <t>365day_2025_spot-FX</t>
  </si>
  <si>
    <t>365day_2025_PPP-FX</t>
  </si>
  <si>
    <t>365day_startdate_spot-FX</t>
  </si>
  <si>
    <t>365day_startdate_PPP-FX</t>
  </si>
  <si>
    <t>fullduration_startdate_spot-FX</t>
  </si>
  <si>
    <t>fullduration_startdate_PPP-FX</t>
  </si>
  <si>
    <t>preliminary_price_range</t>
  </si>
  <si>
    <t>Provides benchmarking data (using spot and PPP) exchange rates, then calculates weighted percentiles for each benchmark. The lower and upper bounds occur where the applicable percentile falls within the lower and upper percentiles for that allocation (e.g. United States 600 MHz 2017 is the upper bound for spot exchange rate data, as the upper bound percentile is 0.65, which falls within its percentile range of 0.6441-0.6855).</t>
  </si>
  <si>
    <t>Provides the lower and upper bounds of the percentile ranges used to find the preliminary price range(s) for the group of bands.</t>
  </si>
  <si>
    <t>Provides the data used for the mobile service revenue per bandwidth (MHz) per head of population index (MSR/MHz/pop index). The 3-year average is (MSR-MHz-pop_3yr_avg) is used to carry forward benchmark valuations to different years. We have assumed the annual MSR/MHz/pop index will remain constant after 2025.</t>
  </si>
  <si>
    <t>850 MHz &amp; 900 MHz</t>
  </si>
  <si>
    <t>Provides the annual and daily weighted average cost of capital (WACC) rates used for valuation adjustments for different licence durations.</t>
  </si>
  <si>
    <t>Provides the start and end dates for licence renewals based on our preliminary views on licence duration.</t>
  </si>
  <si>
    <t>Provides Australian data for metrics so weighting ratios and currency conversions can be calculated.</t>
  </si>
  <si>
    <t>S2_duration</t>
  </si>
  <si>
    <t>S3_currency</t>
  </si>
  <si>
    <t>S4_timing</t>
  </si>
  <si>
    <t>Benchmarking data is converted from full duration valuations to 365-day valuations using a flat annuity formula.</t>
  </si>
  <si>
    <t>365-day valuations converted to Australian dollars separately with spot exchange rate and PPP exchange rate data.</t>
  </si>
  <si>
    <t>365-day AUD valuations carried forward to the 2025 financial year by dividing by the applicable MSR/MHz/pop index value.</t>
  </si>
  <si>
    <t>Provides basic weighting data for each benchmark. Worksheet includes the actual values used for weighting (column titles ending with '_value') and the calculated weights (ending with '_weight'). The weights are the ratio of the weighting value to the Australian value in that year (the formula to calculate this changes depending on which value is higher out of Australia and the applicable country).</t>
  </si>
  <si>
    <t>Provides summary statistics for each cohort in the 'S6A_cohort_data' worksheet. The lower and upper bounds are based on the percentiles in the 'percentiles' worksheet. The minimum, median and maximum are provided for information.</t>
  </si>
  <si>
    <t>S7_fwd_valuations</t>
  </si>
  <si>
    <t>S8_expand_duration</t>
  </si>
  <si>
    <t xml:space="preserve">The value ranges from the previous worksheet are expanded to full licence duration using the flat annuity formula. </t>
  </si>
  <si>
    <t>The value ranges from the previous worksheet are carried forward to the financial year (ending June) of the start date of renewed licences.</t>
  </si>
  <si>
    <t>Compiles the lower and upper bounds for all cohorts and the numeric weighting analysis (for both spot and PPP exchange rates), then finds the intersection of values common to each sample (in the columns with titled beginning with 'combined_').</t>
  </si>
  <si>
    <t>Summarises the lower and upper bound data from the previous worksheet, then takes the intersection range common to spot and PPP exchange rate data to find the published preliminary price range for each spectrum band.</t>
  </si>
  <si>
    <t>percentile</t>
  </si>
  <si>
    <t>Provides benchmarking data for different cohorts (the three weighting parameters are cohorts, with separate columns for spot and PPP exchange rates). Benchmarks are excluded from cohorts (see grey cells) where the weight is below the required threshold in the 'weight_thresholds' worksheet.</t>
  </si>
  <si>
    <t>exchange_rates</t>
  </si>
  <si>
    <t>Outlines exchange rate data for each benchmark allocation. Conversions are based on allocation timing rather than timing of licence commencement. Exchange rate data is from the World Bank's "World Development Indicators" (note: spot exchange rates for the euro are calculated based on the daily average of representative rates in US dollars from the International Monetary Fund). Spot exchange rate data is in US dollars and the PPP exchange rate data is in international currency units, so conversions to Australian dollars have used the A$ value in the applicable data set for that year (see 'aus_data' worksheet). Adjustments have been made where source benchmarking data is not in the local currency.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</si>
</sst>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8" formatCode="&quot;$&quot;#,##0.00;[Red]\-&quot;$&quot;#,##0.00"/>
    <numFmt numFmtId="164" formatCode="0.000000%"/>
    <numFmt numFmtId="165" formatCode="#,##0.0000000"/>
    <numFmt numFmtId="166" formatCode="0.000000"/>
    <numFmt numFmtId="167" formatCode="yyyy"/>
    <numFmt numFmtId="168" formatCode="0.0"/>
    <numFmt numFmtId="169" formatCode="0.0000"/>
    <numFmt numFmtId="170" formatCode="mmm\ yyyy"/>
    <numFmt numFmtId="171" formatCode="&quot;$&quot;#,##0.00"/>
  </numFmts>
  <fonts count="10" x14ac:knownFonts="1">
    <font>
      <sz val="11"/>
      <color theme="1"/>
      <name val="Aptos Narrow"/>
      <family val="2"/>
      <scheme val="minor"/>
    </font>
    <font>
      <sz val="11"/>
      <color theme="1"/>
      <name val="Calibri"/>
      <family val="2"/>
    </font>
    <font>
      <b/>
      <sz val="11"/>
      <name val="Calibri"/>
      <family val="2"/>
    </font>
    <font>
      <sz val="11"/>
      <name val="Calibri"/>
      <family val="2"/>
    </font>
    <font>
      <b/>
      <sz val="11"/>
      <color theme="1"/>
      <name val="Calibri"/>
      <family val="2"/>
    </font>
    <font>
      <sz val="11"/>
      <color theme="1"/>
      <name val="Calibri"/>
      <family val="2"/>
    </font>
    <font>
      <sz val="11"/>
      <color theme="1"/>
      <name val="Calibri"/>
      <family val="2"/>
    </font>
    <font>
      <b/>
      <sz val="11"/>
      <color theme="1"/>
      <name val="Calibri"/>
      <family val="2"/>
    </font>
    <font>
      <b/>
      <sz val="11"/>
      <name val="Calibri"/>
      <family val="2"/>
    </font>
    <font>
      <sz val="11"/>
      <name val="Calibri"/>
      <family val="2"/>
    </font>
  </fonts>
  <fills count="8">
    <fill>
      <patternFill patternType="none"/>
    </fill>
    <fill>
      <patternFill patternType="gray125"/>
    </fill>
    <fill>
      <patternFill patternType="solid">
        <fgColor theme="8"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2"/>
        <bgColor indexed="64"/>
      </patternFill>
    </fill>
  </fills>
  <borders count="3">
    <border>
      <left/>
      <right/>
      <top/>
      <bottom/>
      <diagonal/>
    </border>
    <border>
      <left style="thin">
        <color theme="2" tint="-0.24994659260841701"/>
      </left>
      <right style="thin">
        <color theme="2" tint="-0.24994659260841701"/>
      </right>
      <top style="thin">
        <color theme="2" tint="-0.24994659260841701"/>
      </top>
      <bottom style="thin">
        <color theme="2" tint="-0.24994659260841701"/>
      </bottom>
      <diagonal/>
    </border>
    <border>
      <left/>
      <right/>
      <top/>
      <bottom style="thin">
        <color theme="2" tint="-0.24994659260841701"/>
      </bottom>
      <diagonal/>
    </border>
  </borders>
  <cellStyleXfs count="1">
    <xf numFmtId="0" fontId="0" fillId="0" borderId="0"/>
  </cellStyleXfs>
  <cellXfs count="74">
    <xf numFmtId="0" fontId="0" fillId="0" borderId="0" xfId="0"/>
    <xf numFmtId="0" fontId="3" fillId="0" borderId="0" xfId="0" applyFont="1" applyAlignment="1">
      <alignment horizontal="left" vertical="center" wrapText="1"/>
    </xf>
    <xf numFmtId="0" fontId="4" fillId="0" borderId="0" xfId="0" applyFont="1"/>
    <xf numFmtId="0" fontId="4" fillId="0" borderId="0" xfId="0" applyFont="1" applyAlignment="1">
      <alignment horizontal="right"/>
    </xf>
    <xf numFmtId="0" fontId="5" fillId="0" borderId="0" xfId="0" applyFont="1"/>
    <xf numFmtId="0" fontId="5" fillId="0" borderId="0" xfId="0" applyFont="1" applyAlignment="1">
      <alignment horizontal="right"/>
    </xf>
    <xf numFmtId="0" fontId="4" fillId="0" borderId="0" xfId="0" applyFont="1" applyAlignment="1">
      <alignment vertical="center" wrapText="1"/>
    </xf>
    <xf numFmtId="0" fontId="4" fillId="0" borderId="0" xfId="0" applyFont="1" applyAlignment="1">
      <alignment horizontal="right" vertical="center" wrapText="1"/>
    </xf>
    <xf numFmtId="14" fontId="5" fillId="0" borderId="0" xfId="0" applyNumberFormat="1" applyFont="1"/>
    <xf numFmtId="0" fontId="0" fillId="0" borderId="0" xfId="0" applyAlignment="1">
      <alignment wrapText="1"/>
    </xf>
    <xf numFmtId="167" fontId="5" fillId="0" borderId="0" xfId="0" applyNumberFormat="1" applyFont="1"/>
    <xf numFmtId="0" fontId="0" fillId="0" borderId="0" xfId="0" applyAlignment="1">
      <alignment horizontal="left" indent="3"/>
    </xf>
    <xf numFmtId="0" fontId="2" fillId="0" borderId="0" xfId="0" applyFont="1" applyAlignment="1">
      <alignment horizontal="left" vertical="center" wrapText="1"/>
    </xf>
    <xf numFmtId="167" fontId="2" fillId="0" borderId="0" xfId="0" applyNumberFormat="1" applyFont="1" applyAlignment="1">
      <alignment horizontal="right" vertical="center" wrapText="1"/>
    </xf>
    <xf numFmtId="0" fontId="2" fillId="0" borderId="0" xfId="0" applyFont="1" applyAlignment="1">
      <alignment horizontal="right" vertical="center" wrapText="1"/>
    </xf>
    <xf numFmtId="169" fontId="5" fillId="0" borderId="0" xfId="0" applyNumberFormat="1" applyFont="1"/>
    <xf numFmtId="170" fontId="4" fillId="0" borderId="0" xfId="0" applyNumberFormat="1" applyFont="1" applyAlignment="1">
      <alignment horizontal="right" vertical="center" wrapText="1"/>
    </xf>
    <xf numFmtId="14" fontId="4" fillId="0" borderId="0" xfId="0" applyNumberFormat="1" applyFont="1" applyAlignment="1">
      <alignment horizontal="right" vertical="center" wrapText="1"/>
    </xf>
    <xf numFmtId="170" fontId="5" fillId="0" borderId="0" xfId="0" applyNumberFormat="1" applyFont="1"/>
    <xf numFmtId="168" fontId="5" fillId="0" borderId="0" xfId="0" applyNumberFormat="1" applyFont="1"/>
    <xf numFmtId="2" fontId="5" fillId="0" borderId="0" xfId="0" applyNumberFormat="1" applyFont="1" applyAlignment="1">
      <alignment horizontal="right"/>
    </xf>
    <xf numFmtId="169" fontId="5" fillId="0" borderId="0" xfId="0" applyNumberFormat="1" applyFont="1" applyAlignment="1">
      <alignment horizontal="right"/>
    </xf>
    <xf numFmtId="0" fontId="5" fillId="2" borderId="0" xfId="0" applyFont="1" applyFill="1" applyAlignment="1">
      <alignment horizontal="right"/>
    </xf>
    <xf numFmtId="168" fontId="5" fillId="2" borderId="0" xfId="0" applyNumberFormat="1" applyFont="1" applyFill="1"/>
    <xf numFmtId="2" fontId="5" fillId="2" borderId="0" xfId="0" applyNumberFormat="1" applyFont="1" applyFill="1" applyAlignment="1">
      <alignment horizontal="right"/>
    </xf>
    <xf numFmtId="169" fontId="5" fillId="2" borderId="0" xfId="0" applyNumberFormat="1" applyFont="1" applyFill="1" applyAlignment="1">
      <alignment horizontal="right"/>
    </xf>
    <xf numFmtId="0" fontId="3" fillId="0" borderId="0" xfId="0" applyFont="1"/>
    <xf numFmtId="0" fontId="4" fillId="0" borderId="0" xfId="0" applyFont="1" applyAlignment="1">
      <alignment horizontal="right" vertical="center"/>
    </xf>
    <xf numFmtId="0" fontId="4" fillId="0" borderId="0" xfId="0" applyFont="1" applyAlignment="1">
      <alignment horizontal="left" vertical="center"/>
    </xf>
    <xf numFmtId="3" fontId="5" fillId="0" borderId="0" xfId="0" applyNumberFormat="1" applyFont="1"/>
    <xf numFmtId="0" fontId="4" fillId="0" borderId="0" xfId="0" applyFont="1" applyAlignment="1">
      <alignment vertical="center"/>
    </xf>
    <xf numFmtId="0" fontId="3" fillId="0" borderId="0" xfId="0" applyFont="1" applyAlignment="1">
      <alignment horizontal="right"/>
    </xf>
    <xf numFmtId="0" fontId="0" fillId="0" borderId="0" xfId="0" applyAlignment="1">
      <alignment horizontal="right"/>
    </xf>
    <xf numFmtId="0" fontId="3" fillId="0" borderId="0" xfId="0" applyFont="1" applyAlignment="1">
      <alignment horizontal="left"/>
    </xf>
    <xf numFmtId="0" fontId="5" fillId="0" borderId="0" xfId="0" applyFont="1" applyAlignment="1">
      <alignment horizontal="left"/>
    </xf>
    <xf numFmtId="0" fontId="4" fillId="4" borderId="0" xfId="0" applyFont="1" applyFill="1" applyAlignment="1">
      <alignment horizontal="right" vertical="center" wrapText="1"/>
    </xf>
    <xf numFmtId="0" fontId="1" fillId="0" borderId="0" xfId="0" applyFont="1"/>
    <xf numFmtId="0" fontId="1" fillId="0" borderId="0" xfId="0" applyFont="1" applyAlignment="1">
      <alignment horizontal="right"/>
    </xf>
    <xf numFmtId="0" fontId="1" fillId="0" borderId="0" xfId="0" applyFont="1" applyAlignment="1">
      <alignment horizontal="left" vertical="center"/>
    </xf>
    <xf numFmtId="0" fontId="3" fillId="5" borderId="1" xfId="0" applyFont="1" applyFill="1" applyBorder="1" applyAlignment="1">
      <alignment horizontal="left" vertical="center" wrapText="1"/>
    </xf>
    <xf numFmtId="0" fontId="3" fillId="0" borderId="1" xfId="0" applyFont="1" applyBorder="1" applyAlignment="1">
      <alignment vertical="center" wrapText="1"/>
    </xf>
    <xf numFmtId="0" fontId="3" fillId="6" borderId="1" xfId="0" applyFont="1" applyFill="1" applyBorder="1" applyAlignment="1">
      <alignment horizontal="left" vertical="center" wrapText="1"/>
    </xf>
    <xf numFmtId="0" fontId="3" fillId="0" borderId="0" xfId="0" applyFont="1" applyAlignment="1">
      <alignment horizontal="right" vertical="center" wrapText="1"/>
    </xf>
    <xf numFmtId="0" fontId="2" fillId="7" borderId="1" xfId="0" applyFont="1" applyFill="1" applyBorder="1" applyAlignment="1">
      <alignment horizontal="left" wrapText="1"/>
    </xf>
    <xf numFmtId="0" fontId="2" fillId="7" borderId="1" xfId="0" applyFont="1" applyFill="1" applyBorder="1" applyAlignment="1">
      <alignment wrapText="1"/>
    </xf>
    <xf numFmtId="164" fontId="1" fillId="0" borderId="0" xfId="0" applyNumberFormat="1" applyFont="1" applyAlignment="1">
      <alignment horizontal="right"/>
    </xf>
    <xf numFmtId="14" fontId="1" fillId="0" borderId="0" xfId="0" applyNumberFormat="1" applyFont="1"/>
    <xf numFmtId="3" fontId="1" fillId="0" borderId="0" xfId="0" applyNumberFormat="1" applyFont="1"/>
    <xf numFmtId="0" fontId="1" fillId="0" borderId="0" xfId="0" applyFont="1" applyAlignment="1">
      <alignment horizontal="center" vertical="center"/>
    </xf>
    <xf numFmtId="0" fontId="1" fillId="0" borderId="0" xfId="0" applyFont="1" applyAlignment="1">
      <alignment horizontal="right" vertical="center"/>
    </xf>
    <xf numFmtId="0" fontId="4" fillId="0" borderId="0" xfId="0" applyFont="1" applyAlignment="1">
      <alignment horizontal="center" vertical="center"/>
    </xf>
    <xf numFmtId="8" fontId="1" fillId="0" borderId="0" xfId="0" applyNumberFormat="1" applyFont="1" applyAlignment="1">
      <alignment horizontal="right" vertical="center" wrapText="1"/>
    </xf>
    <xf numFmtId="165" fontId="1" fillId="0" borderId="0" xfId="0" applyNumberFormat="1" applyFont="1" applyAlignment="1">
      <alignment horizontal="right" vertical="center"/>
    </xf>
    <xf numFmtId="0" fontId="1" fillId="0" borderId="0" xfId="0" applyFont="1" applyAlignment="1">
      <alignment horizontal="left" vertical="center" wrapText="1"/>
    </xf>
    <xf numFmtId="166" fontId="1" fillId="0" borderId="0" xfId="0" applyNumberFormat="1" applyFont="1" applyAlignment="1">
      <alignment horizontal="right" vertical="center"/>
    </xf>
    <xf numFmtId="0" fontId="1" fillId="0" borderId="0" xfId="0" applyFont="1" applyAlignment="1">
      <alignment horizontal="left"/>
    </xf>
    <xf numFmtId="167" fontId="1" fillId="0" borderId="0" xfId="0" applyNumberFormat="1" applyFont="1" applyAlignment="1">
      <alignment horizontal="right"/>
    </xf>
    <xf numFmtId="169" fontId="1" fillId="0" borderId="0" xfId="0" applyNumberFormat="1" applyFont="1" applyAlignment="1">
      <alignment horizontal="right"/>
    </xf>
    <xf numFmtId="169" fontId="3" fillId="0" borderId="0" xfId="0" applyNumberFormat="1" applyFont="1" applyAlignment="1">
      <alignment horizontal="right"/>
    </xf>
    <xf numFmtId="0" fontId="6" fillId="0" borderId="0" xfId="0" applyFont="1"/>
    <xf numFmtId="0" fontId="7" fillId="0" borderId="0" xfId="0" applyFont="1" applyAlignment="1">
      <alignment horizontal="right" vertical="center" wrapText="1"/>
    </xf>
    <xf numFmtId="169" fontId="6" fillId="0" borderId="0" xfId="0" applyNumberFormat="1" applyFont="1"/>
    <xf numFmtId="171" fontId="6" fillId="0" borderId="0" xfId="0" applyNumberFormat="1" applyFont="1"/>
    <xf numFmtId="169" fontId="6" fillId="3" borderId="0" xfId="0" applyNumberFormat="1" applyFont="1" applyFill="1"/>
    <xf numFmtId="0" fontId="6" fillId="0" borderId="0" xfId="0" applyFont="1" applyAlignment="1">
      <alignment vertical="center" wrapText="1"/>
    </xf>
    <xf numFmtId="0" fontId="6" fillId="0" borderId="0" xfId="0" applyFont="1" applyAlignment="1">
      <alignment horizontal="left"/>
    </xf>
    <xf numFmtId="0" fontId="6" fillId="0" borderId="0" xfId="0" applyFont="1" applyAlignment="1">
      <alignment horizontal="right" vertical="center" wrapText="1"/>
    </xf>
    <xf numFmtId="0" fontId="7" fillId="0" borderId="0" xfId="0" applyFont="1" applyAlignment="1">
      <alignment vertical="center" wrapText="1"/>
    </xf>
    <xf numFmtId="0" fontId="8" fillId="0" borderId="0" xfId="0" applyFont="1" applyAlignment="1">
      <alignment horizontal="left" vertical="center" wrapText="1"/>
    </xf>
    <xf numFmtId="0" fontId="9" fillId="0" borderId="0" xfId="0" applyFont="1" applyAlignment="1">
      <alignment horizontal="left"/>
    </xf>
    <xf numFmtId="14" fontId="6" fillId="0" borderId="0" xfId="0" applyNumberFormat="1" applyFont="1" applyAlignment="1">
      <alignment horizontal="right" vertical="center" wrapText="1"/>
    </xf>
    <xf numFmtId="3" fontId="6" fillId="0" borderId="0" xfId="0" applyNumberFormat="1" applyFont="1" applyAlignment="1">
      <alignment horizontal="right" vertical="center" wrapText="1"/>
    </xf>
    <xf numFmtId="169" fontId="3" fillId="0" borderId="0" xfId="0" applyNumberFormat="1" applyFont="1"/>
    <xf numFmtId="0" fontId="0" fillId="0" borderId="2" xfId="0" applyBorder="1" applyAlignment="1">
      <alignment horizontal="left"/>
    </xf>
  </cellXfs>
  <cellStyles count="1">
    <cellStyle name="Normal" xfId="0" builtinId="0"/>
  </cellStyles>
  <dxfs count="0"/>
  <tableStyles count="0" defaultTableStyle="TableStyleMedium2" defaultPivotStyle="PivotStyleLight16"/>
  <colors>
    <mruColors>
      <color rgb="FFFF77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06/relationships/rdRichValue" Target="richData/rdrichvalue.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22/10/relationships/richValueRel" Target="richData/richValueRel.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microsoft.com/office/2017/06/relationships/rdRichValueTypes" Target="richData/rdRichValueTyp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microsoft.com/office/2017/06/relationships/rdRichValueStructure" Target="richData/rdrichvaluestructure.xml"/><Relationship Id="rId30" Type="http://schemas.openxmlformats.org/officeDocument/2006/relationships/customXml" Target="../customXml/item1.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C91DE-0C10-4E1C-9049-3ED7C9EF3E21}">
  <sheetPr>
    <tabColor theme="6" tint="0.79998168889431442"/>
  </sheetPr>
  <dimension ref="A1:B21"/>
  <sheetViews>
    <sheetView tabSelected="1" workbookViewId="0">
      <pane ySplit="2" topLeftCell="A3" activePane="bottomLeft" state="frozen"/>
      <selection pane="bottomLeft" activeCell="A2" sqref="A2"/>
    </sheetView>
  </sheetViews>
  <sheetFormatPr defaultRowHeight="15" x14ac:dyDescent="0.25"/>
  <cols>
    <col min="1" max="1" width="40.5703125" customWidth="1"/>
    <col min="2" max="2" width="125.5703125" customWidth="1"/>
  </cols>
  <sheetData>
    <row r="1" spans="1:2" ht="36" customHeight="1" x14ac:dyDescent="0.25">
      <c r="A1" s="73" t="e" vm="1">
        <v>#VALUE!</v>
      </c>
      <c r="B1" s="73"/>
    </row>
    <row r="2" spans="1:2" x14ac:dyDescent="0.25">
      <c r="A2" s="43" t="s">
        <v>0</v>
      </c>
      <c r="B2" s="44" t="s">
        <v>1</v>
      </c>
    </row>
    <row r="3" spans="1:2" x14ac:dyDescent="0.25">
      <c r="A3" s="39" t="s">
        <v>2</v>
      </c>
      <c r="B3" s="40" t="s">
        <v>162</v>
      </c>
    </row>
    <row r="4" spans="1:2" ht="30" x14ac:dyDescent="0.25">
      <c r="A4" s="39" t="s">
        <v>3</v>
      </c>
      <c r="B4" s="40" t="s">
        <v>4</v>
      </c>
    </row>
    <row r="5" spans="1:2" ht="30" x14ac:dyDescent="0.25">
      <c r="A5" s="39" t="s">
        <v>5</v>
      </c>
      <c r="B5" s="40" t="s">
        <v>165</v>
      </c>
    </row>
    <row r="6" spans="1:2" x14ac:dyDescent="0.25">
      <c r="A6" s="39" t="s">
        <v>6</v>
      </c>
      <c r="B6" s="40" t="s">
        <v>166</v>
      </c>
    </row>
    <row r="7" spans="1:2" x14ac:dyDescent="0.25">
      <c r="A7" s="39" t="s">
        <v>7</v>
      </c>
      <c r="B7" s="40" t="s">
        <v>167</v>
      </c>
    </row>
    <row r="8" spans="1:2" ht="90" x14ac:dyDescent="0.25">
      <c r="A8" s="39" t="s">
        <v>184</v>
      </c>
      <c r="B8" s="40" t="s">
        <v>185</v>
      </c>
    </row>
    <row r="9" spans="1:2" ht="45" x14ac:dyDescent="0.25">
      <c r="A9" s="39" t="s">
        <v>8</v>
      </c>
      <c r="B9" s="40" t="s">
        <v>163</v>
      </c>
    </row>
    <row r="10" spans="1:2" x14ac:dyDescent="0.25">
      <c r="A10" s="41" t="s">
        <v>9</v>
      </c>
      <c r="B10" s="40" t="s">
        <v>10</v>
      </c>
    </row>
    <row r="11" spans="1:2" x14ac:dyDescent="0.25">
      <c r="A11" s="41" t="s">
        <v>168</v>
      </c>
      <c r="B11" s="40" t="s">
        <v>171</v>
      </c>
    </row>
    <row r="12" spans="1:2" x14ac:dyDescent="0.25">
      <c r="A12" s="41" t="s">
        <v>169</v>
      </c>
      <c r="B12" s="40" t="s">
        <v>172</v>
      </c>
    </row>
    <row r="13" spans="1:2" x14ac:dyDescent="0.25">
      <c r="A13" s="41" t="s">
        <v>170</v>
      </c>
      <c r="B13" s="40" t="s">
        <v>173</v>
      </c>
    </row>
    <row r="14" spans="1:2" ht="45" x14ac:dyDescent="0.25">
      <c r="A14" s="41" t="s">
        <v>11</v>
      </c>
      <c r="B14" s="40" t="s">
        <v>174</v>
      </c>
    </row>
    <row r="15" spans="1:2" ht="45" x14ac:dyDescent="0.25">
      <c r="A15" s="41" t="s">
        <v>12</v>
      </c>
      <c r="B15" s="40" t="s">
        <v>183</v>
      </c>
    </row>
    <row r="16" spans="1:2" ht="30" x14ac:dyDescent="0.25">
      <c r="A16" s="41" t="s">
        <v>13</v>
      </c>
      <c r="B16" s="40" t="s">
        <v>175</v>
      </c>
    </row>
    <row r="17" spans="1:2" ht="60" x14ac:dyDescent="0.25">
      <c r="A17" s="41" t="s">
        <v>14</v>
      </c>
      <c r="B17" s="40" t="s">
        <v>161</v>
      </c>
    </row>
    <row r="18" spans="1:2" ht="30" x14ac:dyDescent="0.25">
      <c r="A18" s="41" t="s">
        <v>15</v>
      </c>
      <c r="B18" s="40" t="s">
        <v>180</v>
      </c>
    </row>
    <row r="19" spans="1:2" ht="30" x14ac:dyDescent="0.25">
      <c r="A19" s="41" t="s">
        <v>176</v>
      </c>
      <c r="B19" s="40" t="s">
        <v>179</v>
      </c>
    </row>
    <row r="20" spans="1:2" x14ac:dyDescent="0.25">
      <c r="A20" s="41" t="s">
        <v>177</v>
      </c>
      <c r="B20" s="40" t="s">
        <v>178</v>
      </c>
    </row>
    <row r="21" spans="1:2" ht="30" x14ac:dyDescent="0.25">
      <c r="A21" s="41" t="s">
        <v>16</v>
      </c>
      <c r="B21" s="40" t="s">
        <v>181</v>
      </c>
    </row>
  </sheetData>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19FA3E-1CF5-4483-B964-C4865C00E436}">
  <sheetPr>
    <tabColor theme="7" tint="0.79998168889431442"/>
  </sheetPr>
  <dimension ref="A1:C3"/>
  <sheetViews>
    <sheetView workbookViewId="0">
      <pane ySplit="1" topLeftCell="A2" activePane="bottomLeft" state="frozen"/>
      <selection pane="bottomLeft"/>
    </sheetView>
  </sheetViews>
  <sheetFormatPr defaultColWidth="8.7109375" defaultRowHeight="15" x14ac:dyDescent="0.25"/>
  <cols>
    <col min="1" max="1" width="19" style="36" customWidth="1"/>
    <col min="2" max="2" width="17.28515625" style="36" customWidth="1"/>
    <col min="3" max="3" width="7.85546875" style="36" customWidth="1"/>
    <col min="4" max="16384" width="8.7109375" style="4"/>
  </cols>
  <sheetData>
    <row r="1" spans="1:3" x14ac:dyDescent="0.25">
      <c r="A1" s="2" t="s">
        <v>29</v>
      </c>
      <c r="B1" s="2" t="s">
        <v>23</v>
      </c>
      <c r="C1" s="3" t="s">
        <v>24</v>
      </c>
    </row>
    <row r="2" spans="1:3" x14ac:dyDescent="0.25">
      <c r="A2" s="36" t="s">
        <v>30</v>
      </c>
      <c r="B2" s="36" t="s">
        <v>25</v>
      </c>
      <c r="C2" s="37">
        <v>0.35</v>
      </c>
    </row>
    <row r="3" spans="1:3" x14ac:dyDescent="0.25">
      <c r="A3" s="36" t="s">
        <v>30</v>
      </c>
      <c r="B3" s="36" t="s">
        <v>26</v>
      </c>
      <c r="C3" s="37">
        <v>0.65</v>
      </c>
    </row>
  </sheetData>
  <sheetProtection algorithmName="SHA-512" hashValue="rAs4s260da611GW0JrF3gSA3+HBf19bceZOSrZ7WGAR59rCm72pFkqZcVfx6gUgQBtVedcjkVTnCYFisAvA0Jg==" saltValue="TKYZQUBExiaKcF02LyfvCA=="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EC95B-4D4A-4469-8717-687C669C6519}">
  <sheetPr>
    <tabColor theme="7" tint="0.79998168889431442"/>
  </sheetPr>
  <dimension ref="A1:B4"/>
  <sheetViews>
    <sheetView workbookViewId="0">
      <pane ySplit="1" topLeftCell="A2" activePane="bottomLeft" state="frozen"/>
      <selection pane="bottomLeft"/>
    </sheetView>
  </sheetViews>
  <sheetFormatPr defaultColWidth="8.7109375" defaultRowHeight="15" x14ac:dyDescent="0.25"/>
  <cols>
    <col min="1" max="1" width="32.5703125" style="36" customWidth="1"/>
    <col min="2" max="2" width="10.42578125" style="36" customWidth="1"/>
    <col min="3" max="16384" width="8.7109375" style="4"/>
  </cols>
  <sheetData>
    <row r="1" spans="1:2" x14ac:dyDescent="0.25">
      <c r="A1" s="2" t="s">
        <v>17</v>
      </c>
      <c r="B1" s="3" t="s">
        <v>18</v>
      </c>
    </row>
    <row r="2" spans="1:2" x14ac:dyDescent="0.25">
      <c r="A2" s="36" t="s">
        <v>19</v>
      </c>
      <c r="B2" s="37">
        <v>0.7</v>
      </c>
    </row>
    <row r="3" spans="1:2" x14ac:dyDescent="0.25">
      <c r="A3" s="36" t="s">
        <v>20</v>
      </c>
      <c r="B3" s="37">
        <v>1</v>
      </c>
    </row>
    <row r="4" spans="1:2" x14ac:dyDescent="0.25">
      <c r="A4" s="36" t="s">
        <v>21</v>
      </c>
      <c r="B4" s="37">
        <v>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707353-B664-4B18-B0E5-79722617EEAB}">
  <sheetPr>
    <tabColor theme="7" tint="0.79998168889431442"/>
  </sheetPr>
  <dimension ref="A1:C3"/>
  <sheetViews>
    <sheetView workbookViewId="0">
      <pane ySplit="1" topLeftCell="A2" activePane="bottomLeft" state="frozen"/>
      <selection pane="bottomLeft"/>
    </sheetView>
  </sheetViews>
  <sheetFormatPr defaultColWidth="8.7109375" defaultRowHeight="15" x14ac:dyDescent="0.25"/>
  <cols>
    <col min="1" max="1" width="20.42578125" style="36" customWidth="1"/>
    <col min="2" max="2" width="21.140625" style="36" bestFit="1" customWidth="1"/>
    <col min="3" max="3" width="14.42578125" style="36" customWidth="1"/>
    <col min="4" max="16384" width="8.7109375" style="4"/>
  </cols>
  <sheetData>
    <row r="1" spans="1:3" x14ac:dyDescent="0.25">
      <c r="A1" s="2" t="s">
        <v>31</v>
      </c>
      <c r="B1" s="2" t="s">
        <v>32</v>
      </c>
      <c r="C1" s="3" t="s">
        <v>5</v>
      </c>
    </row>
    <row r="2" spans="1:3" x14ac:dyDescent="0.25">
      <c r="A2" s="36" t="s">
        <v>33</v>
      </c>
      <c r="B2" s="36" t="s">
        <v>34</v>
      </c>
      <c r="C2" s="45">
        <v>8.4900000000000003E-2</v>
      </c>
    </row>
    <row r="3" spans="1:3" x14ac:dyDescent="0.25">
      <c r="A3" s="36" t="s">
        <v>33</v>
      </c>
      <c r="B3" s="36" t="s">
        <v>35</v>
      </c>
      <c r="C3" s="45">
        <v>2.2327921582387944E-4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1D147-9046-459A-89D1-D48A93917485}">
  <sheetPr>
    <tabColor theme="7" tint="0.79998168889431442"/>
  </sheetPr>
  <dimension ref="A1:D3"/>
  <sheetViews>
    <sheetView workbookViewId="0">
      <pane ySplit="1" topLeftCell="A2" activePane="bottomLeft" state="frozen"/>
      <selection pane="bottomLeft" activeCell="B3" sqref="B3"/>
    </sheetView>
  </sheetViews>
  <sheetFormatPr defaultColWidth="8.7109375" defaultRowHeight="15" x14ac:dyDescent="0.25"/>
  <cols>
    <col min="1" max="1" width="13.85546875" customWidth="1"/>
    <col min="2" max="3" width="17.5703125" customWidth="1"/>
    <col min="4" max="4" width="15.42578125" customWidth="1"/>
    <col min="5" max="16384" width="8.7109375" style="4"/>
  </cols>
  <sheetData>
    <row r="1" spans="1:4" x14ac:dyDescent="0.25">
      <c r="A1" s="6" t="s">
        <v>22</v>
      </c>
      <c r="B1" s="7" t="s">
        <v>36</v>
      </c>
      <c r="C1" s="7" t="s">
        <v>37</v>
      </c>
      <c r="D1" s="7" t="s">
        <v>38</v>
      </c>
    </row>
    <row r="2" spans="1:4" x14ac:dyDescent="0.25">
      <c r="A2" s="36" t="s">
        <v>27</v>
      </c>
      <c r="B2" s="46">
        <v>47484</v>
      </c>
      <c r="C2" s="46">
        <v>52778</v>
      </c>
      <c r="D2" s="47">
        <f>$C2-$B2+1</f>
        <v>5295</v>
      </c>
    </row>
    <row r="3" spans="1:4" x14ac:dyDescent="0.25">
      <c r="A3" s="36" t="s">
        <v>39</v>
      </c>
      <c r="B3" s="46">
        <v>46922</v>
      </c>
      <c r="C3" s="46">
        <v>52778</v>
      </c>
      <c r="D3" s="47">
        <f>$C3-$B3+1</f>
        <v>5857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32D9E-63B3-4F71-9E9F-79361D93DE88}">
  <sheetPr>
    <tabColor theme="7" tint="0.79998168889431442"/>
  </sheetPr>
  <dimension ref="A1:D76"/>
  <sheetViews>
    <sheetView workbookViewId="0">
      <pane ySplit="1" topLeftCell="A2" activePane="bottomLeft" state="frozen"/>
      <selection pane="bottomLeft" activeCell="B6" sqref="B6"/>
    </sheetView>
  </sheetViews>
  <sheetFormatPr defaultColWidth="8.7109375" defaultRowHeight="15" x14ac:dyDescent="0.25"/>
  <cols>
    <col min="1" max="1" width="9" style="48" customWidth="1"/>
    <col min="2" max="2" width="29.42578125" style="38" customWidth="1"/>
    <col min="3" max="3" width="109.42578125" style="38" customWidth="1"/>
    <col min="4" max="4" width="18.42578125" style="49" customWidth="1"/>
    <col min="5" max="16384" width="8.7109375" style="4"/>
  </cols>
  <sheetData>
    <row r="1" spans="1:4" x14ac:dyDescent="0.25">
      <c r="A1" s="50" t="s">
        <v>40</v>
      </c>
      <c r="B1" s="28" t="s">
        <v>41</v>
      </c>
      <c r="C1" s="28" t="s">
        <v>42</v>
      </c>
      <c r="D1" s="27" t="s">
        <v>43</v>
      </c>
    </row>
    <row r="2" spans="1:4" x14ac:dyDescent="0.25">
      <c r="A2" s="48">
        <v>2009</v>
      </c>
      <c r="B2" s="38" t="s">
        <v>19</v>
      </c>
      <c r="C2" s="38" t="s">
        <v>44</v>
      </c>
      <c r="D2" s="51">
        <v>53237.00776423121</v>
      </c>
    </row>
    <row r="3" spans="1:4" x14ac:dyDescent="0.25">
      <c r="A3" s="48">
        <v>2010</v>
      </c>
      <c r="B3" s="38" t="s">
        <v>19</v>
      </c>
      <c r="C3" s="38" t="s">
        <v>44</v>
      </c>
      <c r="D3" s="51">
        <v>53578.812504975904</v>
      </c>
    </row>
    <row r="4" spans="1:4" x14ac:dyDescent="0.25">
      <c r="A4" s="48">
        <v>2011</v>
      </c>
      <c r="B4" s="38" t="s">
        <v>19</v>
      </c>
      <c r="C4" s="38" t="s">
        <v>44</v>
      </c>
      <c r="D4" s="51">
        <v>54111.357240335987</v>
      </c>
    </row>
    <row r="5" spans="1:4" x14ac:dyDescent="0.25">
      <c r="A5" s="48">
        <v>2012</v>
      </c>
      <c r="B5" s="38" t="s">
        <v>19</v>
      </c>
      <c r="C5" s="38" t="s">
        <v>44</v>
      </c>
      <c r="D5" s="51">
        <v>55257.573928736187</v>
      </c>
    </row>
    <row r="6" spans="1:4" x14ac:dyDescent="0.25">
      <c r="A6" s="48">
        <v>2013</v>
      </c>
      <c r="B6" s="38" t="s">
        <v>19</v>
      </c>
      <c r="C6" s="38" t="s">
        <v>44</v>
      </c>
      <c r="D6" s="51">
        <v>55728.017403571932</v>
      </c>
    </row>
    <row r="7" spans="1:4" x14ac:dyDescent="0.25">
      <c r="A7" s="48">
        <v>2014</v>
      </c>
      <c r="B7" s="38" t="s">
        <v>19</v>
      </c>
      <c r="C7" s="38" t="s">
        <v>44</v>
      </c>
      <c r="D7" s="51">
        <v>56327.853306327721</v>
      </c>
    </row>
    <row r="8" spans="1:4" x14ac:dyDescent="0.25">
      <c r="A8" s="48">
        <v>2015</v>
      </c>
      <c r="B8" s="38" t="s">
        <v>19</v>
      </c>
      <c r="C8" s="38" t="s">
        <v>44</v>
      </c>
      <c r="D8" s="51">
        <v>56739.02653465933</v>
      </c>
    </row>
    <row r="9" spans="1:4" x14ac:dyDescent="0.25">
      <c r="A9" s="48">
        <v>2016</v>
      </c>
      <c r="B9" s="38" t="s">
        <v>19</v>
      </c>
      <c r="C9" s="38" t="s">
        <v>44</v>
      </c>
      <c r="D9" s="51">
        <v>57401.066226893934</v>
      </c>
    </row>
    <row r="10" spans="1:4" x14ac:dyDescent="0.25">
      <c r="A10" s="48">
        <v>2017</v>
      </c>
      <c r="B10" s="38" t="s">
        <v>19</v>
      </c>
      <c r="C10" s="38" t="s">
        <v>44</v>
      </c>
      <c r="D10" s="51">
        <v>57750.64822216882</v>
      </c>
    </row>
    <row r="11" spans="1:4" x14ac:dyDescent="0.25">
      <c r="A11" s="48">
        <v>2018</v>
      </c>
      <c r="B11" s="38" t="s">
        <v>19</v>
      </c>
      <c r="C11" s="38" t="s">
        <v>44</v>
      </c>
      <c r="D11" s="51">
        <v>58530.782169711711</v>
      </c>
    </row>
    <row r="12" spans="1:4" x14ac:dyDescent="0.25">
      <c r="A12" s="48">
        <v>2019</v>
      </c>
      <c r="B12" s="38" t="s">
        <v>19</v>
      </c>
      <c r="C12" s="38" t="s">
        <v>44</v>
      </c>
      <c r="D12" s="51">
        <v>58924.733646241955</v>
      </c>
    </row>
    <row r="13" spans="1:4" x14ac:dyDescent="0.25">
      <c r="A13" s="48">
        <v>2020</v>
      </c>
      <c r="B13" s="38" t="s">
        <v>19</v>
      </c>
      <c r="C13" s="38" t="s">
        <v>44</v>
      </c>
      <c r="D13" s="51">
        <v>58132.798523626036</v>
      </c>
    </row>
    <row r="14" spans="1:4" x14ac:dyDescent="0.25">
      <c r="A14" s="48">
        <v>2021</v>
      </c>
      <c r="B14" s="38" t="s">
        <v>19</v>
      </c>
      <c r="C14" s="38" t="s">
        <v>44</v>
      </c>
      <c r="D14" s="51">
        <v>59276.503107196957</v>
      </c>
    </row>
    <row r="15" spans="1:4" x14ac:dyDescent="0.25">
      <c r="A15" s="48">
        <v>2022</v>
      </c>
      <c r="B15" s="38" t="s">
        <v>19</v>
      </c>
      <c r="C15" s="38" t="s">
        <v>44</v>
      </c>
      <c r="D15" s="51">
        <v>61009.807714740316</v>
      </c>
    </row>
    <row r="16" spans="1:4" x14ac:dyDescent="0.25">
      <c r="A16" s="48">
        <v>2023</v>
      </c>
      <c r="B16" s="38" t="s">
        <v>19</v>
      </c>
      <c r="C16" s="38" t="s">
        <v>44</v>
      </c>
      <c r="D16" s="51">
        <v>61583.918893530448</v>
      </c>
    </row>
    <row r="17" spans="1:4" x14ac:dyDescent="0.25">
      <c r="A17" s="48">
        <v>2009</v>
      </c>
      <c r="B17" s="38" t="s">
        <v>20</v>
      </c>
      <c r="C17" s="38" t="s">
        <v>45</v>
      </c>
      <c r="D17" s="49">
        <v>3</v>
      </c>
    </row>
    <row r="18" spans="1:4" x14ac:dyDescent="0.25">
      <c r="A18" s="48">
        <v>2010</v>
      </c>
      <c r="B18" s="38" t="s">
        <v>20</v>
      </c>
      <c r="C18" s="38" t="s">
        <v>45</v>
      </c>
      <c r="D18" s="49">
        <v>3</v>
      </c>
    </row>
    <row r="19" spans="1:4" x14ac:dyDescent="0.25">
      <c r="A19" s="48">
        <v>2011</v>
      </c>
      <c r="B19" s="38" t="s">
        <v>20</v>
      </c>
      <c r="C19" s="38" t="s">
        <v>45</v>
      </c>
      <c r="D19" s="49">
        <v>3</v>
      </c>
    </row>
    <row r="20" spans="1:4" x14ac:dyDescent="0.25">
      <c r="A20" s="48">
        <v>2012</v>
      </c>
      <c r="B20" s="38" t="s">
        <v>20</v>
      </c>
      <c r="C20" s="38" t="s">
        <v>45</v>
      </c>
      <c r="D20" s="49">
        <v>3</v>
      </c>
    </row>
    <row r="21" spans="1:4" x14ac:dyDescent="0.25">
      <c r="A21" s="48">
        <v>2013</v>
      </c>
      <c r="B21" s="38" t="s">
        <v>20</v>
      </c>
      <c r="C21" s="38" t="s">
        <v>45</v>
      </c>
      <c r="D21" s="49">
        <v>3</v>
      </c>
    </row>
    <row r="22" spans="1:4" x14ac:dyDescent="0.25">
      <c r="A22" s="48">
        <v>2014</v>
      </c>
      <c r="B22" s="38" t="s">
        <v>20</v>
      </c>
      <c r="C22" s="38" t="s">
        <v>45</v>
      </c>
      <c r="D22" s="49">
        <v>3</v>
      </c>
    </row>
    <row r="23" spans="1:4" x14ac:dyDescent="0.25">
      <c r="A23" s="48">
        <v>2015</v>
      </c>
      <c r="B23" s="38" t="s">
        <v>20</v>
      </c>
      <c r="C23" s="38" t="s">
        <v>45</v>
      </c>
      <c r="D23" s="49">
        <v>3</v>
      </c>
    </row>
    <row r="24" spans="1:4" x14ac:dyDescent="0.25">
      <c r="A24" s="48">
        <v>2016</v>
      </c>
      <c r="B24" s="38" t="s">
        <v>20</v>
      </c>
      <c r="C24" s="38" t="s">
        <v>45</v>
      </c>
      <c r="D24" s="49">
        <v>3</v>
      </c>
    </row>
    <row r="25" spans="1:4" x14ac:dyDescent="0.25">
      <c r="A25" s="48">
        <v>2017</v>
      </c>
      <c r="B25" s="38" t="s">
        <v>20</v>
      </c>
      <c r="C25" s="38" t="s">
        <v>45</v>
      </c>
      <c r="D25" s="49">
        <v>3</v>
      </c>
    </row>
    <row r="26" spans="1:4" x14ac:dyDescent="0.25">
      <c r="A26" s="48">
        <v>2018</v>
      </c>
      <c r="B26" s="38" t="s">
        <v>20</v>
      </c>
      <c r="C26" s="38" t="s">
        <v>45</v>
      </c>
      <c r="D26" s="49">
        <v>3</v>
      </c>
    </row>
    <row r="27" spans="1:4" x14ac:dyDescent="0.25">
      <c r="A27" s="48">
        <v>2019</v>
      </c>
      <c r="B27" s="38" t="s">
        <v>20</v>
      </c>
      <c r="C27" s="38" t="s">
        <v>45</v>
      </c>
      <c r="D27" s="49">
        <v>3</v>
      </c>
    </row>
    <row r="28" spans="1:4" x14ac:dyDescent="0.25">
      <c r="A28" s="48">
        <v>2020</v>
      </c>
      <c r="B28" s="38" t="s">
        <v>20</v>
      </c>
      <c r="C28" s="38" t="s">
        <v>45</v>
      </c>
      <c r="D28" s="49">
        <v>3</v>
      </c>
    </row>
    <row r="29" spans="1:4" x14ac:dyDescent="0.25">
      <c r="A29" s="48">
        <v>2021</v>
      </c>
      <c r="B29" s="38" t="s">
        <v>20</v>
      </c>
      <c r="C29" s="38" t="s">
        <v>45</v>
      </c>
      <c r="D29" s="49">
        <v>3</v>
      </c>
    </row>
    <row r="30" spans="1:4" x14ac:dyDescent="0.25">
      <c r="A30" s="48">
        <v>2022</v>
      </c>
      <c r="B30" s="38" t="s">
        <v>20</v>
      </c>
      <c r="C30" s="38" t="s">
        <v>45</v>
      </c>
      <c r="D30" s="49">
        <v>3</v>
      </c>
    </row>
    <row r="31" spans="1:4" x14ac:dyDescent="0.25">
      <c r="A31" s="48">
        <v>2023</v>
      </c>
      <c r="B31" s="38" t="s">
        <v>20</v>
      </c>
      <c r="C31" s="38" t="s">
        <v>45</v>
      </c>
      <c r="D31" s="49">
        <v>3</v>
      </c>
    </row>
    <row r="32" spans="1:4" x14ac:dyDescent="0.25">
      <c r="A32" s="48">
        <v>2009</v>
      </c>
      <c r="B32" s="38" t="s">
        <v>21</v>
      </c>
      <c r="C32" s="38" t="s">
        <v>46</v>
      </c>
      <c r="D32" s="52">
        <v>2.823588378480403</v>
      </c>
    </row>
    <row r="33" spans="1:4" x14ac:dyDescent="0.25">
      <c r="A33" s="48">
        <v>2010</v>
      </c>
      <c r="B33" s="38" t="s">
        <v>21</v>
      </c>
      <c r="C33" s="38" t="s">
        <v>46</v>
      </c>
      <c r="D33" s="52">
        <v>2.867858584017807</v>
      </c>
    </row>
    <row r="34" spans="1:4" x14ac:dyDescent="0.25">
      <c r="A34" s="48">
        <v>2011</v>
      </c>
      <c r="B34" s="38" t="s">
        <v>21</v>
      </c>
      <c r="C34" s="38" t="s">
        <v>46</v>
      </c>
      <c r="D34" s="52">
        <v>2.9079864103198263</v>
      </c>
    </row>
    <row r="35" spans="1:4" x14ac:dyDescent="0.25">
      <c r="A35" s="48">
        <v>2012</v>
      </c>
      <c r="B35" s="38" t="s">
        <v>21</v>
      </c>
      <c r="C35" s="38" t="s">
        <v>46</v>
      </c>
      <c r="D35" s="52">
        <v>2.9592003696809548</v>
      </c>
    </row>
    <row r="36" spans="1:4" x14ac:dyDescent="0.25">
      <c r="A36" s="48">
        <v>2013</v>
      </c>
      <c r="B36" s="38" t="s">
        <v>21</v>
      </c>
      <c r="C36" s="38" t="s">
        <v>46</v>
      </c>
      <c r="D36" s="52">
        <v>3.0105735261575308</v>
      </c>
    </row>
    <row r="37" spans="1:4" x14ac:dyDescent="0.25">
      <c r="A37" s="48">
        <v>2014</v>
      </c>
      <c r="B37" s="38" t="s">
        <v>21</v>
      </c>
      <c r="C37" s="38" t="s">
        <v>46</v>
      </c>
      <c r="D37" s="52">
        <v>3.0558147950483581</v>
      </c>
    </row>
    <row r="38" spans="1:4" x14ac:dyDescent="0.25">
      <c r="A38" s="48">
        <v>2015</v>
      </c>
      <c r="B38" s="38" t="s">
        <v>21</v>
      </c>
      <c r="C38" s="38" t="s">
        <v>46</v>
      </c>
      <c r="D38" s="52">
        <v>3.1001125964880307</v>
      </c>
    </row>
    <row r="39" spans="1:4" x14ac:dyDescent="0.25">
      <c r="A39" s="48">
        <v>2016</v>
      </c>
      <c r="B39" s="38" t="s">
        <v>21</v>
      </c>
      <c r="C39" s="38" t="s">
        <v>46</v>
      </c>
      <c r="D39" s="52">
        <v>3.1449355305888442</v>
      </c>
    </row>
    <row r="40" spans="1:4" x14ac:dyDescent="0.25">
      <c r="A40" s="48">
        <v>2017</v>
      </c>
      <c r="B40" s="38" t="s">
        <v>21</v>
      </c>
      <c r="C40" s="38" t="s">
        <v>46</v>
      </c>
      <c r="D40" s="52">
        <v>3.1971560136349098</v>
      </c>
    </row>
    <row r="41" spans="1:4" x14ac:dyDescent="0.25">
      <c r="A41" s="48">
        <v>2018</v>
      </c>
      <c r="B41" s="38" t="s">
        <v>21</v>
      </c>
      <c r="C41" s="38" t="s">
        <v>46</v>
      </c>
      <c r="D41" s="52">
        <v>3.2453449158998549</v>
      </c>
    </row>
    <row r="42" spans="1:4" x14ac:dyDescent="0.25">
      <c r="A42" s="48">
        <v>2019</v>
      </c>
      <c r="B42" s="38" t="s">
        <v>21</v>
      </c>
      <c r="C42" s="38" t="s">
        <v>46</v>
      </c>
      <c r="D42" s="52">
        <v>3.2936505625310386</v>
      </c>
    </row>
    <row r="43" spans="1:4" x14ac:dyDescent="0.25">
      <c r="A43" s="48">
        <v>2020</v>
      </c>
      <c r="B43" s="38" t="s">
        <v>21</v>
      </c>
      <c r="C43" s="38" t="s">
        <v>46</v>
      </c>
      <c r="D43" s="52">
        <v>3.3345269513079789</v>
      </c>
    </row>
    <row r="44" spans="1:4" x14ac:dyDescent="0.25">
      <c r="A44" s="48">
        <v>2021</v>
      </c>
      <c r="B44" s="38" t="s">
        <v>21</v>
      </c>
      <c r="C44" s="38" t="s">
        <v>46</v>
      </c>
      <c r="D44" s="52">
        <v>3.3392284471439231</v>
      </c>
    </row>
    <row r="45" spans="1:4" x14ac:dyDescent="0.25">
      <c r="A45" s="48">
        <v>2022</v>
      </c>
      <c r="B45" s="38" t="s">
        <v>21</v>
      </c>
      <c r="C45" s="38" t="s">
        <v>46</v>
      </c>
      <c r="D45" s="52">
        <v>3.3819983567385421</v>
      </c>
    </row>
    <row r="46" spans="1:4" ht="45" x14ac:dyDescent="0.25">
      <c r="A46" s="48">
        <v>2023</v>
      </c>
      <c r="B46" s="38" t="s">
        <v>21</v>
      </c>
      <c r="C46" s="53" t="s">
        <v>47</v>
      </c>
      <c r="D46" s="52">
        <v>3.4657928606529884</v>
      </c>
    </row>
    <row r="47" spans="1:4" x14ac:dyDescent="0.25">
      <c r="A47" s="48">
        <v>2009</v>
      </c>
      <c r="B47" s="38" t="s">
        <v>48</v>
      </c>
      <c r="C47" s="38" t="s">
        <v>49</v>
      </c>
      <c r="D47" s="49">
        <v>1.28218881008452</v>
      </c>
    </row>
    <row r="48" spans="1:4" x14ac:dyDescent="0.25">
      <c r="A48" s="48">
        <v>2010</v>
      </c>
      <c r="B48" s="38" t="s">
        <v>48</v>
      </c>
      <c r="C48" s="38" t="s">
        <v>49</v>
      </c>
      <c r="D48" s="49">
        <v>1.0901594863867701</v>
      </c>
    </row>
    <row r="49" spans="1:4" x14ac:dyDescent="0.25">
      <c r="A49" s="48">
        <v>2011</v>
      </c>
      <c r="B49" s="38" t="s">
        <v>48</v>
      </c>
      <c r="C49" s="38" t="s">
        <v>49</v>
      </c>
      <c r="D49" s="49">
        <v>0.96946320149673504</v>
      </c>
    </row>
    <row r="50" spans="1:4" x14ac:dyDescent="0.25">
      <c r="A50" s="48">
        <v>2012</v>
      </c>
      <c r="B50" s="38" t="s">
        <v>48</v>
      </c>
      <c r="C50" s="38" t="s">
        <v>49</v>
      </c>
      <c r="D50" s="49">
        <v>0.96580103065870804</v>
      </c>
    </row>
    <row r="51" spans="1:4" x14ac:dyDescent="0.25">
      <c r="A51" s="48">
        <v>2013</v>
      </c>
      <c r="B51" s="38" t="s">
        <v>48</v>
      </c>
      <c r="C51" s="38" t="s">
        <v>49</v>
      </c>
      <c r="D51" s="49">
        <v>1.0358430965205401</v>
      </c>
    </row>
    <row r="52" spans="1:4" x14ac:dyDescent="0.25">
      <c r="A52" s="48">
        <v>2014</v>
      </c>
      <c r="B52" s="38" t="s">
        <v>48</v>
      </c>
      <c r="C52" s="38" t="s">
        <v>49</v>
      </c>
      <c r="D52" s="49">
        <v>1.1093632928169199</v>
      </c>
    </row>
    <row r="53" spans="1:4" x14ac:dyDescent="0.25">
      <c r="A53" s="48">
        <v>2015</v>
      </c>
      <c r="B53" s="38" t="s">
        <v>48</v>
      </c>
      <c r="C53" s="38" t="s">
        <v>49</v>
      </c>
      <c r="D53" s="49">
        <v>1.33109026245502</v>
      </c>
    </row>
    <row r="54" spans="1:4" x14ac:dyDescent="0.25">
      <c r="A54" s="48">
        <v>2016</v>
      </c>
      <c r="B54" s="38" t="s">
        <v>48</v>
      </c>
      <c r="C54" s="38" t="s">
        <v>49</v>
      </c>
      <c r="D54" s="49">
        <v>1.3452139760194699</v>
      </c>
    </row>
    <row r="55" spans="1:4" x14ac:dyDescent="0.25">
      <c r="A55" s="48">
        <v>2017</v>
      </c>
      <c r="B55" s="38" t="s">
        <v>48</v>
      </c>
      <c r="C55" s="38" t="s">
        <v>49</v>
      </c>
      <c r="D55" s="49">
        <v>1.3047580767159199</v>
      </c>
    </row>
    <row r="56" spans="1:4" x14ac:dyDescent="0.25">
      <c r="A56" s="48">
        <v>2018</v>
      </c>
      <c r="B56" s="38" t="s">
        <v>48</v>
      </c>
      <c r="C56" s="38" t="s">
        <v>49</v>
      </c>
      <c r="D56" s="49">
        <v>1.33841214646451</v>
      </c>
    </row>
    <row r="57" spans="1:4" x14ac:dyDescent="0.25">
      <c r="A57" s="48">
        <v>2019</v>
      </c>
      <c r="B57" s="38" t="s">
        <v>48</v>
      </c>
      <c r="C57" s="38" t="s">
        <v>49</v>
      </c>
      <c r="D57" s="49">
        <v>1.4385065442138201</v>
      </c>
    </row>
    <row r="58" spans="1:4" x14ac:dyDescent="0.25">
      <c r="A58" s="48">
        <v>2020</v>
      </c>
      <c r="B58" s="38" t="s">
        <v>48</v>
      </c>
      <c r="C58" s="38" t="s">
        <v>49</v>
      </c>
      <c r="D58" s="49">
        <v>1.4530851184701601</v>
      </c>
    </row>
    <row r="59" spans="1:4" x14ac:dyDescent="0.25">
      <c r="A59" s="48">
        <v>2021</v>
      </c>
      <c r="B59" s="38" t="s">
        <v>48</v>
      </c>
      <c r="C59" s="38" t="s">
        <v>49</v>
      </c>
      <c r="D59" s="49">
        <v>1.3312242595708099</v>
      </c>
    </row>
    <row r="60" spans="1:4" x14ac:dyDescent="0.25">
      <c r="A60" s="48">
        <v>2022</v>
      </c>
      <c r="B60" s="38" t="s">
        <v>48</v>
      </c>
      <c r="C60" s="38" t="s">
        <v>49</v>
      </c>
      <c r="D60" s="49">
        <v>1.4416644589652201</v>
      </c>
    </row>
    <row r="61" spans="1:4" x14ac:dyDescent="0.25">
      <c r="A61" s="48">
        <v>2023</v>
      </c>
      <c r="B61" s="38" t="s">
        <v>48</v>
      </c>
      <c r="C61" s="38" t="s">
        <v>49</v>
      </c>
      <c r="D61" s="49">
        <v>1.50519106560509</v>
      </c>
    </row>
    <row r="62" spans="1:4" x14ac:dyDescent="0.25">
      <c r="A62" s="48">
        <v>2009</v>
      </c>
      <c r="B62" s="38" t="s">
        <v>50</v>
      </c>
      <c r="C62" s="38" t="s">
        <v>51</v>
      </c>
      <c r="D62" s="54">
        <v>1.442566</v>
      </c>
    </row>
    <row r="63" spans="1:4" x14ac:dyDescent="0.25">
      <c r="A63" s="48">
        <v>2010</v>
      </c>
      <c r="B63" s="38" t="s">
        <v>50</v>
      </c>
      <c r="C63" s="38" t="s">
        <v>51</v>
      </c>
      <c r="D63" s="54">
        <v>1.5036229999999999</v>
      </c>
    </row>
    <row r="64" spans="1:4" x14ac:dyDescent="0.25">
      <c r="A64" s="48">
        <v>2011</v>
      </c>
      <c r="B64" s="38" t="s">
        <v>50</v>
      </c>
      <c r="C64" s="38" t="s">
        <v>51</v>
      </c>
      <c r="D64" s="54">
        <v>1.5110520000000001</v>
      </c>
    </row>
    <row r="65" spans="1:4" x14ac:dyDescent="0.25">
      <c r="A65" s="48">
        <v>2012</v>
      </c>
      <c r="B65" s="38" t="s">
        <v>50</v>
      </c>
      <c r="C65" s="38" t="s">
        <v>51</v>
      </c>
      <c r="D65" s="54">
        <v>1.5401149999999999</v>
      </c>
    </row>
    <row r="66" spans="1:4" x14ac:dyDescent="0.25">
      <c r="A66" s="48">
        <v>2013</v>
      </c>
      <c r="B66" s="38" t="s">
        <v>50</v>
      </c>
      <c r="C66" s="38" t="s">
        <v>51</v>
      </c>
      <c r="D66" s="54">
        <v>1.4471229999999999</v>
      </c>
    </row>
    <row r="67" spans="1:4" x14ac:dyDescent="0.25">
      <c r="A67" s="48">
        <v>2014</v>
      </c>
      <c r="B67" s="38" t="s">
        <v>50</v>
      </c>
      <c r="C67" s="38" t="s">
        <v>51</v>
      </c>
      <c r="D67" s="54">
        <v>1.4524889999999999</v>
      </c>
    </row>
    <row r="68" spans="1:4" x14ac:dyDescent="0.25">
      <c r="A68" s="48">
        <v>2015</v>
      </c>
      <c r="B68" s="38" t="s">
        <v>50</v>
      </c>
      <c r="C68" s="38" t="s">
        <v>51</v>
      </c>
      <c r="D68" s="54">
        <v>1.4736910000000001</v>
      </c>
    </row>
    <row r="69" spans="1:4" x14ac:dyDescent="0.25">
      <c r="A69" s="48">
        <v>2016</v>
      </c>
      <c r="B69" s="38" t="s">
        <v>50</v>
      </c>
      <c r="C69" s="38" t="s">
        <v>51</v>
      </c>
      <c r="D69" s="54">
        <v>1.450156</v>
      </c>
    </row>
    <row r="70" spans="1:4" x14ac:dyDescent="0.25">
      <c r="A70" s="48">
        <v>2017</v>
      </c>
      <c r="B70" s="38" t="s">
        <v>50</v>
      </c>
      <c r="C70" s="38" t="s">
        <v>51</v>
      </c>
      <c r="D70" s="54">
        <v>1.4775529999999999</v>
      </c>
    </row>
    <row r="71" spans="1:4" x14ac:dyDescent="0.25">
      <c r="A71" s="48">
        <v>2018</v>
      </c>
      <c r="B71" s="38" t="s">
        <v>50</v>
      </c>
      <c r="C71" s="38" t="s">
        <v>51</v>
      </c>
      <c r="D71" s="54">
        <v>1.4704029999999999</v>
      </c>
    </row>
    <row r="72" spans="1:4" x14ac:dyDescent="0.25">
      <c r="A72" s="48">
        <v>2019</v>
      </c>
      <c r="B72" s="38" t="s">
        <v>50</v>
      </c>
      <c r="C72" s="38" t="s">
        <v>51</v>
      </c>
      <c r="D72" s="54">
        <v>1.4592529999999999</v>
      </c>
    </row>
    <row r="73" spans="1:4" x14ac:dyDescent="0.25">
      <c r="A73" s="48">
        <v>2020</v>
      </c>
      <c r="B73" s="38" t="s">
        <v>50</v>
      </c>
      <c r="C73" s="38" t="s">
        <v>51</v>
      </c>
      <c r="D73" s="54">
        <v>1.431163</v>
      </c>
    </row>
    <row r="74" spans="1:4" x14ac:dyDescent="0.25">
      <c r="A74" s="48">
        <v>2021</v>
      </c>
      <c r="B74" s="38" t="s">
        <v>50</v>
      </c>
      <c r="C74" s="38" t="s">
        <v>51</v>
      </c>
      <c r="D74" s="54">
        <v>1.4166829999999999</v>
      </c>
    </row>
    <row r="75" spans="1:4" x14ac:dyDescent="0.25">
      <c r="A75" s="48">
        <v>2022</v>
      </c>
      <c r="B75" s="38" t="s">
        <v>50</v>
      </c>
      <c r="C75" s="38" t="s">
        <v>51</v>
      </c>
      <c r="D75" s="54">
        <v>1.372115</v>
      </c>
    </row>
    <row r="76" spans="1:4" x14ac:dyDescent="0.25">
      <c r="A76" s="48">
        <v>2023</v>
      </c>
      <c r="B76" s="38" t="s">
        <v>50</v>
      </c>
      <c r="C76" s="38" t="s">
        <v>51</v>
      </c>
      <c r="D76" s="54">
        <v>1.3911279999999999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C3C0D9-5C73-4A8E-98A0-36C60B8512C0}">
  <sheetPr>
    <tabColor theme="7" tint="0.79998168889431442"/>
  </sheetPr>
  <dimension ref="A1:N30"/>
  <sheetViews>
    <sheetView workbookViewId="0">
      <pane xSplit="3" ySplit="1" topLeftCell="D2" activePane="bottomRight" state="frozen"/>
      <selection activeCell="F23" sqref="F23"/>
      <selection pane="topRight" activeCell="F23" sqref="F23"/>
      <selection pane="bottomLeft" activeCell="F23" sqref="F23"/>
      <selection pane="bottomRight"/>
    </sheetView>
  </sheetViews>
  <sheetFormatPr defaultColWidth="8.7109375" defaultRowHeight="15" x14ac:dyDescent="0.25"/>
  <cols>
    <col min="1" max="1" width="20.5703125" style="55" customWidth="1"/>
    <col min="2" max="2" width="20.5703125" style="37" customWidth="1"/>
    <col min="3" max="3" width="17.5703125" style="37" customWidth="1"/>
    <col min="4" max="4" width="17.85546875" style="37" customWidth="1"/>
    <col min="5" max="5" width="16.42578125" style="37" customWidth="1"/>
    <col min="6" max="6" width="15.28515625" style="37" customWidth="1"/>
    <col min="7" max="7" width="15.7109375" style="37" customWidth="1"/>
    <col min="8" max="8" width="16" style="37" customWidth="1"/>
    <col min="9" max="9" width="15.42578125" style="37" customWidth="1"/>
    <col min="10" max="10" width="14.5703125" style="37" customWidth="1"/>
    <col min="11" max="11" width="23.85546875" style="37" customWidth="1"/>
    <col min="12" max="12" width="23.140625" style="37" customWidth="1"/>
    <col min="13" max="14" width="8.7109375" style="36"/>
    <col min="15" max="16384" width="8.7109375" style="4"/>
  </cols>
  <sheetData>
    <row r="1" spans="1:12" ht="39.950000000000003" customHeight="1" x14ac:dyDescent="0.25">
      <c r="A1" s="12" t="s">
        <v>52</v>
      </c>
      <c r="B1" s="7" t="s">
        <v>76</v>
      </c>
      <c r="C1" s="7" t="s">
        <v>82</v>
      </c>
      <c r="D1" s="7" t="s">
        <v>83</v>
      </c>
      <c r="E1" s="7" t="s">
        <v>84</v>
      </c>
      <c r="F1" s="7" t="s">
        <v>85</v>
      </c>
      <c r="G1" s="7" t="s">
        <v>86</v>
      </c>
      <c r="H1" s="7" t="s">
        <v>87</v>
      </c>
      <c r="I1" s="7" t="s">
        <v>88</v>
      </c>
      <c r="J1" s="7" t="s">
        <v>89</v>
      </c>
      <c r="K1" s="7" t="s">
        <v>90</v>
      </c>
      <c r="L1" s="7" t="s">
        <v>91</v>
      </c>
    </row>
    <row r="2" spans="1:12" x14ac:dyDescent="0.25">
      <c r="A2" s="55" t="s">
        <v>53</v>
      </c>
      <c r="B2" s="37" t="s">
        <v>27</v>
      </c>
      <c r="C2" s="56">
        <v>41395</v>
      </c>
      <c r="D2" s="56">
        <v>42005</v>
      </c>
      <c r="E2" s="57">
        <v>1.0358430965205401</v>
      </c>
      <c r="F2" s="57">
        <v>1</v>
      </c>
      <c r="G2" s="57">
        <v>1.4471229999999999</v>
      </c>
      <c r="H2" s="57">
        <v>1</v>
      </c>
      <c r="I2" s="57">
        <f>H2/F2</f>
        <v>1</v>
      </c>
      <c r="J2" s="37" t="s">
        <v>92</v>
      </c>
      <c r="K2" s="57">
        <v>1</v>
      </c>
      <c r="L2" s="57">
        <v>1</v>
      </c>
    </row>
    <row r="3" spans="1:12" x14ac:dyDescent="0.25">
      <c r="A3" s="55" t="s">
        <v>53</v>
      </c>
      <c r="B3" s="37" t="s">
        <v>27</v>
      </c>
      <c r="C3" s="56">
        <v>42826</v>
      </c>
      <c r="D3" s="56">
        <v>42005</v>
      </c>
      <c r="E3" s="57">
        <v>1.3047580767159199</v>
      </c>
      <c r="F3" s="57">
        <v>1</v>
      </c>
      <c r="G3" s="57">
        <v>1.4775529999999999</v>
      </c>
      <c r="H3" s="57">
        <v>1</v>
      </c>
      <c r="I3" s="57">
        <f t="shared" ref="I3:I30" si="0">H3/F3</f>
        <v>1</v>
      </c>
      <c r="J3" s="37" t="s">
        <v>92</v>
      </c>
      <c r="K3" s="57">
        <v>1</v>
      </c>
      <c r="L3" s="57">
        <v>1</v>
      </c>
    </row>
    <row r="4" spans="1:12" x14ac:dyDescent="0.25">
      <c r="A4" s="55" t="s">
        <v>53</v>
      </c>
      <c r="B4" s="37" t="s">
        <v>164</v>
      </c>
      <c r="C4" s="56">
        <v>44531</v>
      </c>
      <c r="D4" s="56">
        <v>45474</v>
      </c>
      <c r="E4" s="57">
        <v>1.3312242595708099</v>
      </c>
      <c r="F4" s="57">
        <v>1</v>
      </c>
      <c r="G4" s="57">
        <v>1.4166829999999999</v>
      </c>
      <c r="H4" s="57">
        <v>1</v>
      </c>
      <c r="I4" s="57">
        <f t="shared" si="0"/>
        <v>1</v>
      </c>
      <c r="J4" s="37" t="s">
        <v>92</v>
      </c>
      <c r="K4" s="57">
        <v>1</v>
      </c>
      <c r="L4" s="57">
        <v>1</v>
      </c>
    </row>
    <row r="5" spans="1:12" x14ac:dyDescent="0.25">
      <c r="A5" s="55" t="s">
        <v>54</v>
      </c>
      <c r="B5" s="37" t="s">
        <v>77</v>
      </c>
      <c r="C5" s="56">
        <v>44713</v>
      </c>
      <c r="D5" s="56">
        <v>44713</v>
      </c>
      <c r="E5" s="57">
        <v>0.94983249470390541</v>
      </c>
      <c r="F5" s="57">
        <v>0.65884435785124662</v>
      </c>
      <c r="G5" s="57">
        <v>0.69464300000000001</v>
      </c>
      <c r="H5" s="57">
        <v>0.50625712859344885</v>
      </c>
      <c r="I5" s="57">
        <f t="shared" si="0"/>
        <v>0.76840170604868596</v>
      </c>
      <c r="J5" s="37" t="s">
        <v>92</v>
      </c>
      <c r="K5" s="57">
        <v>0.65884435785124662</v>
      </c>
      <c r="L5" s="57">
        <v>0.50625712859344885</v>
      </c>
    </row>
    <row r="6" spans="1:12" x14ac:dyDescent="0.25">
      <c r="A6" s="55" t="s">
        <v>55</v>
      </c>
      <c r="B6" s="37" t="s">
        <v>78</v>
      </c>
      <c r="C6" s="56">
        <v>43556</v>
      </c>
      <c r="D6" s="56">
        <v>44343</v>
      </c>
      <c r="E6" s="57">
        <v>1.32679336266012</v>
      </c>
      <c r="F6" s="57">
        <v>0.92234085969017676</v>
      </c>
      <c r="G6" s="57">
        <v>1.2178599999999999</v>
      </c>
      <c r="H6" s="57">
        <v>0.83457769146268679</v>
      </c>
      <c r="I6" s="57">
        <f t="shared" si="0"/>
        <v>0.90484735951417083</v>
      </c>
      <c r="J6" s="37" t="s">
        <v>92</v>
      </c>
      <c r="K6" s="57">
        <v>0.92234085969017676</v>
      </c>
      <c r="L6" s="57">
        <v>0.83457769146268679</v>
      </c>
    </row>
    <row r="7" spans="1:12" x14ac:dyDescent="0.25">
      <c r="A7" s="55" t="s">
        <v>56</v>
      </c>
      <c r="B7" s="37" t="s">
        <v>27</v>
      </c>
      <c r="C7" s="56">
        <v>44409</v>
      </c>
      <c r="D7" s="56">
        <v>44420</v>
      </c>
      <c r="E7" s="57">
        <v>0.84457913917678851</v>
      </c>
      <c r="F7" s="57">
        <v>0.63443791164764607</v>
      </c>
      <c r="G7" s="57">
        <v>0.40748086115350202</v>
      </c>
      <c r="H7" s="57">
        <v>0.28763023284214045</v>
      </c>
      <c r="I7" s="57">
        <f t="shared" si="0"/>
        <v>0.45336230316873694</v>
      </c>
      <c r="J7" s="37" t="s">
        <v>92</v>
      </c>
      <c r="K7" s="57">
        <v>0.63443791164764607</v>
      </c>
      <c r="L7" s="57">
        <v>0.28763023284214045</v>
      </c>
    </row>
    <row r="8" spans="1:12" x14ac:dyDescent="0.25">
      <c r="A8" s="55" t="s">
        <v>56</v>
      </c>
      <c r="B8" s="37" t="s">
        <v>79</v>
      </c>
      <c r="C8" s="56">
        <v>44986</v>
      </c>
      <c r="D8" s="56">
        <v>45584</v>
      </c>
      <c r="E8" s="57">
        <v>0.92505233646725182</v>
      </c>
      <c r="F8" s="57">
        <v>0.61457469261244835</v>
      </c>
      <c r="G8" s="57">
        <v>0.432290262501</v>
      </c>
      <c r="H8" s="57">
        <v>0.31074801348330278</v>
      </c>
      <c r="I8" s="57">
        <f t="shared" si="0"/>
        <v>0.50563099525359223</v>
      </c>
      <c r="J8" s="37" t="s">
        <v>92</v>
      </c>
      <c r="K8" s="57">
        <v>0.61457469261244835</v>
      </c>
      <c r="L8" s="57">
        <v>0.31074801348330278</v>
      </c>
    </row>
    <row r="9" spans="1:12" x14ac:dyDescent="0.25">
      <c r="A9" s="55" t="s">
        <v>57</v>
      </c>
      <c r="B9" s="37" t="s">
        <v>27</v>
      </c>
      <c r="C9" s="56">
        <v>44136</v>
      </c>
      <c r="D9" s="56">
        <v>44136</v>
      </c>
      <c r="E9" s="57">
        <v>23.210249999999998</v>
      </c>
      <c r="F9" s="57">
        <v>15.973083548220671</v>
      </c>
      <c r="G9" s="57">
        <v>12.150266999999999</v>
      </c>
      <c r="H9" s="57">
        <v>8.48978557997936</v>
      </c>
      <c r="I9" s="57">
        <f t="shared" si="0"/>
        <v>0.53150573928633105</v>
      </c>
      <c r="J9" s="37" t="s">
        <v>92</v>
      </c>
      <c r="K9" s="57">
        <v>15.973083548220671</v>
      </c>
      <c r="L9" s="57">
        <v>8.48978557997936</v>
      </c>
    </row>
    <row r="10" spans="1:12" x14ac:dyDescent="0.25">
      <c r="A10" s="55" t="s">
        <v>58</v>
      </c>
      <c r="B10" s="37" t="s">
        <v>27</v>
      </c>
      <c r="C10" s="56">
        <v>44866</v>
      </c>
      <c r="D10" s="56">
        <v>44866</v>
      </c>
      <c r="E10" s="57">
        <v>0.94983249470390541</v>
      </c>
      <c r="F10" s="57">
        <v>0.65884435785124662</v>
      </c>
      <c r="G10" s="57">
        <v>0.55688199999999999</v>
      </c>
      <c r="H10" s="57">
        <v>0.40585665195701526</v>
      </c>
      <c r="I10" s="57">
        <f t="shared" si="0"/>
        <v>0.61601294314893296</v>
      </c>
      <c r="J10" s="37" t="s">
        <v>92</v>
      </c>
      <c r="K10" s="57">
        <v>0.65884435785124662</v>
      </c>
      <c r="L10" s="57">
        <v>0.40585665195701526</v>
      </c>
    </row>
    <row r="11" spans="1:12" x14ac:dyDescent="0.25">
      <c r="A11" s="55" t="s">
        <v>59</v>
      </c>
      <c r="B11" s="37" t="s">
        <v>27</v>
      </c>
      <c r="C11" s="56">
        <v>44166</v>
      </c>
      <c r="D11" s="56">
        <v>44166</v>
      </c>
      <c r="E11" s="57">
        <v>0.87692692915771175</v>
      </c>
      <c r="F11" s="57">
        <v>0.60349315949292748</v>
      </c>
      <c r="G11" s="57">
        <v>0.53025100000000003</v>
      </c>
      <c r="H11" s="57">
        <v>0.3705035694746161</v>
      </c>
      <c r="I11" s="57">
        <f t="shared" si="0"/>
        <v>0.61393168032910928</v>
      </c>
      <c r="J11" s="37" t="s">
        <v>92</v>
      </c>
      <c r="K11" s="57">
        <v>0.60349315949292748</v>
      </c>
      <c r="L11" s="57">
        <v>0.3705035694746161</v>
      </c>
    </row>
    <row r="12" spans="1:12" x14ac:dyDescent="0.25">
      <c r="A12" s="55" t="s">
        <v>60</v>
      </c>
      <c r="B12" s="37" t="s">
        <v>80</v>
      </c>
      <c r="C12" s="56">
        <v>43435</v>
      </c>
      <c r="D12" s="56">
        <v>43435</v>
      </c>
      <c r="E12" s="57">
        <v>7.8384999999999998</v>
      </c>
      <c r="F12" s="57">
        <v>5.8565666941276895</v>
      </c>
      <c r="G12" s="57">
        <v>6.2472906112670898</v>
      </c>
      <c r="H12" s="57">
        <v>4.2486927810043165</v>
      </c>
      <c r="I12" s="57">
        <f t="shared" si="0"/>
        <v>0.72545793515242141</v>
      </c>
      <c r="J12" s="37" t="s">
        <v>92</v>
      </c>
      <c r="K12" s="57">
        <v>5.8565666941276895</v>
      </c>
      <c r="L12" s="57">
        <v>4.2486927810043165</v>
      </c>
    </row>
    <row r="13" spans="1:12" x14ac:dyDescent="0.25">
      <c r="A13" s="55" t="s">
        <v>60</v>
      </c>
      <c r="B13" s="37" t="s">
        <v>27</v>
      </c>
      <c r="C13" s="56">
        <v>44470</v>
      </c>
      <c r="D13" s="56">
        <v>44470</v>
      </c>
      <c r="E13" s="57">
        <v>7.77325</v>
      </c>
      <c r="F13" s="57">
        <v>5.8391739364080664</v>
      </c>
      <c r="G13" s="57">
        <v>5.8720407485961896</v>
      </c>
      <c r="H13" s="57">
        <v>4.1449221516713264</v>
      </c>
      <c r="I13" s="57">
        <f t="shared" si="0"/>
        <v>0.70984735115136011</v>
      </c>
      <c r="J13" s="37" t="s">
        <v>92</v>
      </c>
      <c r="K13" s="57">
        <v>5.8391739364080664</v>
      </c>
      <c r="L13" s="57">
        <v>4.1449221516713264</v>
      </c>
    </row>
    <row r="14" spans="1:12" x14ac:dyDescent="0.25">
      <c r="A14" s="55" t="s">
        <v>61</v>
      </c>
      <c r="B14" s="37" t="s">
        <v>80</v>
      </c>
      <c r="C14" s="56">
        <v>44197</v>
      </c>
      <c r="D14" s="56">
        <v>44197</v>
      </c>
      <c r="E14" s="57">
        <v>303.14083333333298</v>
      </c>
      <c r="F14" s="57">
        <v>227.71582710719707</v>
      </c>
      <c r="G14" s="57">
        <v>147.10819799999999</v>
      </c>
      <c r="H14" s="57">
        <v>103.83988372839936</v>
      </c>
      <c r="I14" s="57">
        <f t="shared" si="0"/>
        <v>0.45600644034073573</v>
      </c>
      <c r="J14" s="37" t="s">
        <v>92</v>
      </c>
      <c r="K14" s="57">
        <v>227.71582710719707</v>
      </c>
      <c r="L14" s="57">
        <v>103.83988372839936</v>
      </c>
    </row>
    <row r="15" spans="1:12" x14ac:dyDescent="0.25">
      <c r="A15" s="55" t="s">
        <v>62</v>
      </c>
      <c r="B15" s="37" t="s">
        <v>81</v>
      </c>
      <c r="C15" s="56">
        <v>42887</v>
      </c>
      <c r="D15" s="56">
        <v>42887</v>
      </c>
      <c r="E15" s="57">
        <v>106.839572014</v>
      </c>
      <c r="F15" s="57">
        <v>81.884583755875667</v>
      </c>
      <c r="G15" s="57">
        <v>138.277175</v>
      </c>
      <c r="H15" s="57">
        <v>93.58525548660522</v>
      </c>
      <c r="I15" s="57">
        <f t="shared" si="0"/>
        <v>1.1428922416655745</v>
      </c>
      <c r="J15" s="37" t="s">
        <v>92</v>
      </c>
      <c r="K15" s="57">
        <v>81.884583755875667</v>
      </c>
      <c r="L15" s="57">
        <v>93.58525548660522</v>
      </c>
    </row>
    <row r="16" spans="1:12" x14ac:dyDescent="0.25">
      <c r="A16" s="55" t="s">
        <v>63</v>
      </c>
      <c r="B16" s="37" t="s">
        <v>27</v>
      </c>
      <c r="C16" s="56">
        <v>43374</v>
      </c>
      <c r="D16" s="56">
        <v>43374</v>
      </c>
      <c r="E16" s="57">
        <v>0.84635657313332657</v>
      </c>
      <c r="F16" s="57">
        <v>0.63235870607497435</v>
      </c>
      <c r="G16" s="57">
        <v>0.68121900000000002</v>
      </c>
      <c r="H16" s="57">
        <v>0.46328727566524286</v>
      </c>
      <c r="I16" s="57">
        <f t="shared" si="0"/>
        <v>0.73263366379637407</v>
      </c>
      <c r="J16" s="37" t="s">
        <v>92</v>
      </c>
      <c r="K16" s="57">
        <v>0.63235870607497435</v>
      </c>
      <c r="L16" s="57">
        <v>0.46328727566524286</v>
      </c>
    </row>
    <row r="17" spans="1:12" x14ac:dyDescent="0.25">
      <c r="A17" s="55" t="s">
        <v>64</v>
      </c>
      <c r="B17" s="37" t="s">
        <v>27</v>
      </c>
      <c r="C17" s="56">
        <v>44774</v>
      </c>
      <c r="D17" s="56">
        <v>44845</v>
      </c>
      <c r="E17" s="57">
        <v>0.94983249470390541</v>
      </c>
      <c r="F17" s="57">
        <v>0.65884435785124662</v>
      </c>
      <c r="G17" s="57">
        <v>0.46699299999999999</v>
      </c>
      <c r="H17" s="57">
        <v>0.34034537921384139</v>
      </c>
      <c r="I17" s="57">
        <f t="shared" si="0"/>
        <v>0.5165793334314086</v>
      </c>
      <c r="J17" s="37" t="s">
        <v>92</v>
      </c>
      <c r="K17" s="57">
        <v>0.65884435785124662</v>
      </c>
      <c r="L17" s="57">
        <v>0.34034537921384139</v>
      </c>
    </row>
    <row r="18" spans="1:12" x14ac:dyDescent="0.25">
      <c r="A18" s="55" t="s">
        <v>65</v>
      </c>
      <c r="B18" s="37" t="s">
        <v>27</v>
      </c>
      <c r="C18" s="56">
        <v>44044</v>
      </c>
      <c r="D18" s="56">
        <v>44046</v>
      </c>
      <c r="E18" s="57">
        <v>0.87692692915771175</v>
      </c>
      <c r="F18" s="57">
        <v>0.60349315949292748</v>
      </c>
      <c r="G18" s="57">
        <v>0.83816199999999996</v>
      </c>
      <c r="H18" s="57">
        <v>0.58565097057428117</v>
      </c>
      <c r="I18" s="57">
        <f t="shared" si="0"/>
        <v>0.97043514306999301</v>
      </c>
      <c r="J18" s="37" t="s">
        <v>92</v>
      </c>
      <c r="K18" s="57">
        <v>0.60349315949292748</v>
      </c>
      <c r="L18" s="57">
        <v>0.58565097057428117</v>
      </c>
    </row>
    <row r="19" spans="1:12" x14ac:dyDescent="0.25">
      <c r="A19" s="55" t="s">
        <v>66</v>
      </c>
      <c r="B19" s="37" t="s">
        <v>80</v>
      </c>
      <c r="C19" s="56">
        <v>42856</v>
      </c>
      <c r="D19" s="56">
        <v>43101</v>
      </c>
      <c r="E19" s="57">
        <v>8.2716666666666594</v>
      </c>
      <c r="F19" s="57">
        <v>6.3396171399731589</v>
      </c>
      <c r="G19" s="57">
        <v>9.7498299999999993</v>
      </c>
      <c r="H19" s="57">
        <v>6.5986330101187569</v>
      </c>
      <c r="I19" s="57">
        <f t="shared" si="0"/>
        <v>1.0408567054487292</v>
      </c>
      <c r="J19" s="31" t="s">
        <v>92</v>
      </c>
      <c r="K19" s="58">
        <v>6.3396171399731589</v>
      </c>
      <c r="L19" s="58">
        <v>6.5986330101187569</v>
      </c>
    </row>
    <row r="20" spans="1:12" x14ac:dyDescent="0.25">
      <c r="A20" s="55" t="s">
        <v>67</v>
      </c>
      <c r="B20" s="37" t="s">
        <v>77</v>
      </c>
      <c r="C20" s="56">
        <v>44470</v>
      </c>
      <c r="D20" s="56">
        <v>44589</v>
      </c>
      <c r="E20" s="57">
        <v>0.84457913917678851</v>
      </c>
      <c r="F20" s="57">
        <v>0.63443791164764607</v>
      </c>
      <c r="G20" s="57">
        <v>0.53762900000000002</v>
      </c>
      <c r="H20" s="57">
        <v>0.37949844813553918</v>
      </c>
      <c r="I20" s="57">
        <f t="shared" si="0"/>
        <v>0.59816483404967913</v>
      </c>
      <c r="J20" s="37" t="s">
        <v>92</v>
      </c>
      <c r="K20" s="57">
        <v>0.63443791164764607</v>
      </c>
      <c r="L20" s="57">
        <v>0.37949844813553918</v>
      </c>
    </row>
    <row r="21" spans="1:12" x14ac:dyDescent="0.25">
      <c r="A21" s="55" t="s">
        <v>68</v>
      </c>
      <c r="B21" s="37" t="s">
        <v>27</v>
      </c>
      <c r="C21" s="56">
        <v>42826</v>
      </c>
      <c r="D21" s="56">
        <v>43101</v>
      </c>
      <c r="E21" s="57">
        <v>1.380925</v>
      </c>
      <c r="F21" s="57">
        <v>1.0583762803567327</v>
      </c>
      <c r="G21" s="57">
        <v>0.883214712142944</v>
      </c>
      <c r="H21" s="57">
        <v>0.59775501260729336</v>
      </c>
      <c r="I21" s="57">
        <f t="shared" si="0"/>
        <v>0.5647849670306444</v>
      </c>
      <c r="J21" s="37" t="s">
        <v>92</v>
      </c>
      <c r="K21" s="57">
        <v>1.0583762803567327</v>
      </c>
      <c r="L21" s="57">
        <v>0.59775501260729336</v>
      </c>
    </row>
    <row r="22" spans="1:12" x14ac:dyDescent="0.25">
      <c r="A22" s="55" t="s">
        <v>68</v>
      </c>
      <c r="B22" s="37" t="s">
        <v>80</v>
      </c>
      <c r="C22" s="56">
        <v>42826</v>
      </c>
      <c r="D22" s="56">
        <v>42826</v>
      </c>
      <c r="E22" s="57">
        <v>1.380925</v>
      </c>
      <c r="F22" s="57">
        <v>1.0583762803567327</v>
      </c>
      <c r="G22" s="57">
        <v>0.883214712142944</v>
      </c>
      <c r="H22" s="57">
        <v>0.59775501260729336</v>
      </c>
      <c r="I22" s="57">
        <f t="shared" si="0"/>
        <v>0.5647849670306444</v>
      </c>
      <c r="J22" s="37" t="s">
        <v>92</v>
      </c>
      <c r="K22" s="57">
        <v>1.0583762803567327</v>
      </c>
      <c r="L22" s="57">
        <v>0.59775501260729336</v>
      </c>
    </row>
    <row r="23" spans="1:12" x14ac:dyDescent="0.25">
      <c r="A23" s="55" t="s">
        <v>69</v>
      </c>
      <c r="B23" s="37" t="s">
        <v>27</v>
      </c>
      <c r="C23" s="56">
        <v>44136</v>
      </c>
      <c r="D23" s="56">
        <v>44158</v>
      </c>
      <c r="E23" s="57">
        <v>0.87692692915771175</v>
      </c>
      <c r="F23" s="57">
        <v>0.60349315949292748</v>
      </c>
      <c r="G23" s="57">
        <v>0.48909000000000002</v>
      </c>
      <c r="H23" s="57">
        <v>0.34174304394398125</v>
      </c>
      <c r="I23" s="57">
        <f t="shared" si="0"/>
        <v>0.56627492552048764</v>
      </c>
      <c r="J23" s="37" t="s">
        <v>92</v>
      </c>
      <c r="K23" s="57">
        <v>0.60349315949292748</v>
      </c>
      <c r="L23" s="57">
        <v>0.34174304394398125</v>
      </c>
    </row>
    <row r="24" spans="1:12" x14ac:dyDescent="0.25">
      <c r="A24" s="55" t="s">
        <v>70</v>
      </c>
      <c r="B24" s="37" t="s">
        <v>27</v>
      </c>
      <c r="C24" s="56">
        <v>44287</v>
      </c>
      <c r="D24" s="56">
        <v>44362</v>
      </c>
      <c r="E24" s="57">
        <v>0.84457913917678851</v>
      </c>
      <c r="F24" s="57">
        <v>0.63443791164764607</v>
      </c>
      <c r="G24" s="57">
        <v>0.53329300000000002</v>
      </c>
      <c r="H24" s="57">
        <v>0.37643777754091778</v>
      </c>
      <c r="I24" s="57">
        <f t="shared" si="0"/>
        <v>0.59334061005796845</v>
      </c>
      <c r="J24" s="37" t="s">
        <v>92</v>
      </c>
      <c r="K24" s="57">
        <v>0.63443791164764607</v>
      </c>
      <c r="L24" s="57">
        <v>0.37643777754091778</v>
      </c>
    </row>
    <row r="25" spans="1:12" x14ac:dyDescent="0.25">
      <c r="A25" s="55" t="s">
        <v>71</v>
      </c>
      <c r="B25" s="37" t="s">
        <v>27</v>
      </c>
      <c r="C25" s="56">
        <v>44378</v>
      </c>
      <c r="D25" s="56">
        <v>44531</v>
      </c>
      <c r="E25" s="57">
        <v>0.84457913917678851</v>
      </c>
      <c r="F25" s="57">
        <v>0.63443791164764607</v>
      </c>
      <c r="G25" s="57">
        <v>0.59096199999999999</v>
      </c>
      <c r="H25" s="57">
        <v>0.41714483762422505</v>
      </c>
      <c r="I25" s="57">
        <f t="shared" si="0"/>
        <v>0.65750301166727698</v>
      </c>
      <c r="J25" s="37" t="s">
        <v>92</v>
      </c>
      <c r="K25" s="57">
        <v>0.63443791164764607</v>
      </c>
      <c r="L25" s="57">
        <v>0.41714483762422505</v>
      </c>
    </row>
    <row r="26" spans="1:12" x14ac:dyDescent="0.25">
      <c r="A26" s="55" t="s">
        <v>72</v>
      </c>
      <c r="B26" s="37" t="s">
        <v>27</v>
      </c>
      <c r="C26" s="56">
        <v>43435</v>
      </c>
      <c r="D26" s="56">
        <v>43448</v>
      </c>
      <c r="E26" s="57">
        <v>8.6925183333333305</v>
      </c>
      <c r="F26" s="57">
        <v>6.4946499150467965</v>
      </c>
      <c r="G26" s="57">
        <v>8.8658809999999999</v>
      </c>
      <c r="H26" s="57">
        <v>6.0295585631966206</v>
      </c>
      <c r="I26" s="57">
        <f t="shared" si="0"/>
        <v>0.92838854165600937</v>
      </c>
      <c r="J26" s="37" t="s">
        <v>92</v>
      </c>
      <c r="K26" s="57">
        <v>6.4946499150467965</v>
      </c>
      <c r="L26" s="57">
        <v>6.0295585631966206</v>
      </c>
    </row>
    <row r="27" spans="1:12" x14ac:dyDescent="0.25">
      <c r="A27" s="55" t="s">
        <v>72</v>
      </c>
      <c r="B27" s="37" t="s">
        <v>80</v>
      </c>
      <c r="C27" s="56">
        <v>45170</v>
      </c>
      <c r="D27" s="56">
        <v>46023</v>
      </c>
      <c r="E27" s="57">
        <v>10.610161296553599</v>
      </c>
      <c r="F27" s="57">
        <v>7.0490461569995384</v>
      </c>
      <c r="G27" s="57">
        <v>8.5092809999999997</v>
      </c>
      <c r="H27" s="57">
        <v>6.116821025815022</v>
      </c>
      <c r="I27" s="57">
        <f t="shared" si="0"/>
        <v>0.86775159214146458</v>
      </c>
      <c r="J27" s="37" t="s">
        <v>92</v>
      </c>
      <c r="K27" s="57">
        <v>7.0490461569995384</v>
      </c>
      <c r="L27" s="57">
        <v>6.116821025815022</v>
      </c>
    </row>
    <row r="28" spans="1:12" x14ac:dyDescent="0.25">
      <c r="A28" s="55" t="s">
        <v>73</v>
      </c>
      <c r="B28" s="37" t="s">
        <v>27</v>
      </c>
      <c r="C28" s="56">
        <v>43862</v>
      </c>
      <c r="D28" s="56">
        <v>43862</v>
      </c>
      <c r="E28" s="57">
        <v>31.293673213083199</v>
      </c>
      <c r="F28" s="57">
        <v>21.536022092105565</v>
      </c>
      <c r="G28" s="57">
        <v>11.407295227050801</v>
      </c>
      <c r="H28" s="57">
        <v>7.970647108016907</v>
      </c>
      <c r="I28" s="57">
        <f t="shared" si="0"/>
        <v>0.37010767698546787</v>
      </c>
      <c r="J28" s="37" t="s">
        <v>92</v>
      </c>
      <c r="K28" s="57">
        <v>21.536022092105565</v>
      </c>
      <c r="L28" s="57">
        <v>7.970647108016907</v>
      </c>
    </row>
    <row r="29" spans="1:12" x14ac:dyDescent="0.25">
      <c r="A29" s="55" t="s">
        <v>74</v>
      </c>
      <c r="B29" s="37" t="s">
        <v>27</v>
      </c>
      <c r="C29" s="56">
        <v>44256</v>
      </c>
      <c r="D29" s="56">
        <v>44313</v>
      </c>
      <c r="E29" s="57">
        <v>0.72706494468832294</v>
      </c>
      <c r="F29" s="57">
        <v>0.54616263147332555</v>
      </c>
      <c r="G29" s="57">
        <v>0.64489600000000002</v>
      </c>
      <c r="H29" s="57">
        <v>0.45521545751590164</v>
      </c>
      <c r="I29" s="57">
        <f t="shared" si="0"/>
        <v>0.83347968404193951</v>
      </c>
      <c r="J29" s="37" t="s">
        <v>92</v>
      </c>
      <c r="K29" s="57">
        <v>0.54616263147332555</v>
      </c>
      <c r="L29" s="57">
        <v>0.45521545751590164</v>
      </c>
    </row>
    <row r="30" spans="1:12" x14ac:dyDescent="0.25">
      <c r="A30" s="55" t="s">
        <v>75</v>
      </c>
      <c r="B30" s="37" t="s">
        <v>78</v>
      </c>
      <c r="C30" s="56">
        <v>42795</v>
      </c>
      <c r="D30" s="56">
        <v>42820</v>
      </c>
      <c r="E30" s="57">
        <v>1</v>
      </c>
      <c r="F30" s="57">
        <v>0.76642560628327594</v>
      </c>
      <c r="G30" s="57">
        <v>1</v>
      </c>
      <c r="H30" s="57">
        <v>0.67679467335520282</v>
      </c>
      <c r="I30" s="57">
        <f t="shared" si="0"/>
        <v>0.88305331633851369</v>
      </c>
      <c r="J30" s="37" t="s">
        <v>92</v>
      </c>
      <c r="K30" s="57">
        <v>0.76642560628327594</v>
      </c>
      <c r="L30" s="57">
        <v>0.67679467335520282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66027-C3EB-49EB-955B-6A31E9100183}">
  <sheetPr>
    <tabColor theme="7" tint="0.79998168889431442"/>
  </sheetPr>
  <dimension ref="A1:G30"/>
  <sheetViews>
    <sheetView workbookViewId="0">
      <pane xSplit="1" ySplit="1" topLeftCell="B2" activePane="bottomRight" state="frozen"/>
      <selection pane="topRight" activeCell="B1" sqref="B1"/>
      <selection pane="bottomLeft" activeCell="A2" sqref="A2"/>
      <selection pane="bottomRight"/>
    </sheetView>
  </sheetViews>
  <sheetFormatPr defaultColWidth="8.7109375" defaultRowHeight="15" x14ac:dyDescent="0.25"/>
  <cols>
    <col min="1" max="1" width="13.5703125" style="5" customWidth="1"/>
    <col min="2" max="2" width="22.7109375" style="4" customWidth="1"/>
    <col min="3" max="3" width="17.85546875" style="4" customWidth="1"/>
    <col min="4" max="4" width="19" style="4" customWidth="1"/>
    <col min="5" max="6" width="15.42578125" style="4" customWidth="1"/>
    <col min="7" max="7" width="21.85546875" style="4" customWidth="1"/>
    <col min="8" max="16384" width="8.7109375" style="4"/>
  </cols>
  <sheetData>
    <row r="1" spans="1:7" ht="39.950000000000003" customHeight="1" x14ac:dyDescent="0.25">
      <c r="A1" s="7" t="s">
        <v>93</v>
      </c>
      <c r="B1" s="7" t="s">
        <v>94</v>
      </c>
      <c r="C1" s="7" t="s">
        <v>95</v>
      </c>
      <c r="D1" s="7" t="s">
        <v>96</v>
      </c>
      <c r="E1" s="7" t="s">
        <v>97</v>
      </c>
      <c r="F1" s="7" t="s">
        <v>98</v>
      </c>
      <c r="G1" s="7" t="s">
        <v>99</v>
      </c>
    </row>
    <row r="2" spans="1:7" x14ac:dyDescent="0.25">
      <c r="A2" s="5">
        <v>2005</v>
      </c>
      <c r="B2" s="19">
        <v>9762</v>
      </c>
      <c r="C2" s="5">
        <v>558</v>
      </c>
      <c r="D2" s="20">
        <v>20.1768</v>
      </c>
      <c r="E2" s="21">
        <f t="shared" ref="E2:E30" si="0">$B2/$C2/$D2</f>
        <v>0.86706631655733213</v>
      </c>
      <c r="F2" s="21" t="s">
        <v>100</v>
      </c>
      <c r="G2" s="5" t="s">
        <v>100</v>
      </c>
    </row>
    <row r="3" spans="1:7" x14ac:dyDescent="0.25">
      <c r="A3" s="5">
        <v>2006</v>
      </c>
      <c r="B3" s="19">
        <v>10245</v>
      </c>
      <c r="C3" s="5">
        <v>558</v>
      </c>
      <c r="D3" s="20">
        <v>20.451000000000001</v>
      </c>
      <c r="E3" s="21">
        <f t="shared" si="0"/>
        <v>0.89776612653481203</v>
      </c>
      <c r="F3" s="21" t="s">
        <v>100</v>
      </c>
      <c r="G3" s="5" t="s">
        <v>100</v>
      </c>
    </row>
    <row r="4" spans="1:7" x14ac:dyDescent="0.25">
      <c r="A4" s="5">
        <v>2007</v>
      </c>
      <c r="B4" s="19">
        <v>11342</v>
      </c>
      <c r="C4" s="5">
        <v>558</v>
      </c>
      <c r="D4" s="20">
        <v>20.827599999999997</v>
      </c>
      <c r="E4" s="21">
        <f t="shared" si="0"/>
        <v>0.97592448839770174</v>
      </c>
      <c r="F4" s="21">
        <f t="shared" ref="F4:F30" si="1">AVERAGE($E2:$E4)</f>
        <v>0.91358564382994867</v>
      </c>
      <c r="G4" s="21">
        <f>F4/$F$22</f>
        <v>1.6931818851708003</v>
      </c>
    </row>
    <row r="5" spans="1:7" x14ac:dyDescent="0.25">
      <c r="A5" s="5">
        <v>2008</v>
      </c>
      <c r="B5" s="19">
        <v>12448</v>
      </c>
      <c r="C5" s="5">
        <v>558</v>
      </c>
      <c r="D5" s="20">
        <v>21.249200000000002</v>
      </c>
      <c r="E5" s="21">
        <f t="shared" si="0"/>
        <v>1.0498392281873465</v>
      </c>
      <c r="F5" s="21">
        <f t="shared" si="1"/>
        <v>0.97450994770662014</v>
      </c>
      <c r="G5" s="21">
        <f t="shared" ref="G5:G29" si="2">F5/$F$22</f>
        <v>1.8060951389935829</v>
      </c>
    </row>
    <row r="6" spans="1:7" x14ac:dyDescent="0.25">
      <c r="A6" s="5">
        <v>2009</v>
      </c>
      <c r="B6" s="19">
        <v>13420</v>
      </c>
      <c r="C6" s="5">
        <v>558</v>
      </c>
      <c r="D6" s="20">
        <v>21.691700000000001</v>
      </c>
      <c r="E6" s="21">
        <f t="shared" si="0"/>
        <v>1.1087272648741009</v>
      </c>
      <c r="F6" s="21">
        <f t="shared" si="1"/>
        <v>1.0448303271530497</v>
      </c>
      <c r="G6" s="21">
        <f t="shared" si="2"/>
        <v>1.9364224853580514</v>
      </c>
    </row>
    <row r="7" spans="1:7" x14ac:dyDescent="0.25">
      <c r="A7" s="5">
        <v>2010</v>
      </c>
      <c r="B7" s="19">
        <v>14885.8</v>
      </c>
      <c r="C7" s="5">
        <v>558</v>
      </c>
      <c r="D7" s="20">
        <v>22.0318</v>
      </c>
      <c r="E7" s="21">
        <f t="shared" si="0"/>
        <v>1.2108434595402844</v>
      </c>
      <c r="F7" s="21">
        <f t="shared" si="1"/>
        <v>1.123136650867244</v>
      </c>
      <c r="G7" s="21">
        <f t="shared" si="2"/>
        <v>2.0815504760424952</v>
      </c>
    </row>
    <row r="8" spans="1:7" x14ac:dyDescent="0.25">
      <c r="A8" s="5">
        <v>2011</v>
      </c>
      <c r="B8" s="19">
        <v>15267.4</v>
      </c>
      <c r="C8" s="5">
        <v>558</v>
      </c>
      <c r="D8" s="20">
        <v>22.34</v>
      </c>
      <c r="E8" s="21">
        <f t="shared" si="0"/>
        <v>1.2247507564745559</v>
      </c>
      <c r="F8" s="21">
        <f t="shared" si="1"/>
        <v>1.181440493629647</v>
      </c>
      <c r="G8" s="21">
        <f t="shared" si="2"/>
        <v>2.18960713287359</v>
      </c>
    </row>
    <row r="9" spans="1:7" x14ac:dyDescent="0.25">
      <c r="A9" s="5">
        <v>2012</v>
      </c>
      <c r="B9" s="19">
        <v>15014.8</v>
      </c>
      <c r="C9" s="5">
        <v>558</v>
      </c>
      <c r="D9" s="20">
        <v>22.733499999999999</v>
      </c>
      <c r="E9" s="21">
        <f t="shared" si="0"/>
        <v>1.1836384070907939</v>
      </c>
      <c r="F9" s="21">
        <f t="shared" si="1"/>
        <v>1.2064108743685447</v>
      </c>
      <c r="G9" s="21">
        <f t="shared" si="2"/>
        <v>2.2358856581749236</v>
      </c>
    </row>
    <row r="10" spans="1:7" x14ac:dyDescent="0.25">
      <c r="A10" s="5">
        <v>2013</v>
      </c>
      <c r="B10" s="19">
        <v>14757.2</v>
      </c>
      <c r="C10" s="5">
        <v>558</v>
      </c>
      <c r="D10" s="20">
        <v>23.1281</v>
      </c>
      <c r="E10" s="21">
        <f t="shared" si="0"/>
        <v>1.1434832512000057</v>
      </c>
      <c r="F10" s="21">
        <f t="shared" si="1"/>
        <v>1.183957471588452</v>
      </c>
      <c r="G10" s="21">
        <f t="shared" si="2"/>
        <v>2.1942719407260389</v>
      </c>
    </row>
    <row r="11" spans="1:7" x14ac:dyDescent="0.25">
      <c r="A11" s="5">
        <v>2014</v>
      </c>
      <c r="B11" s="19">
        <v>14759.6</v>
      </c>
      <c r="C11" s="5">
        <v>558</v>
      </c>
      <c r="D11" s="20">
        <v>23.4757</v>
      </c>
      <c r="E11" s="21">
        <f t="shared" si="0"/>
        <v>1.1267351370714258</v>
      </c>
      <c r="F11" s="21">
        <f t="shared" si="1"/>
        <v>1.1512855984540751</v>
      </c>
      <c r="G11" s="21">
        <f t="shared" si="2"/>
        <v>2.1337199562248221</v>
      </c>
    </row>
    <row r="12" spans="1:7" x14ac:dyDescent="0.25">
      <c r="A12" s="5">
        <v>2015</v>
      </c>
      <c r="B12" s="19">
        <v>15444.332</v>
      </c>
      <c r="C12" s="5">
        <v>758</v>
      </c>
      <c r="D12" s="20">
        <v>23.815999999999999</v>
      </c>
      <c r="E12" s="21">
        <f t="shared" si="0"/>
        <v>0.85552184159470646</v>
      </c>
      <c r="F12" s="21">
        <f t="shared" si="1"/>
        <v>1.0419134099553793</v>
      </c>
      <c r="G12" s="21">
        <f t="shared" si="2"/>
        <v>1.9310164554001659</v>
      </c>
    </row>
    <row r="13" spans="1:7" x14ac:dyDescent="0.25">
      <c r="A13" s="5">
        <v>2016</v>
      </c>
      <c r="B13" s="19">
        <v>14850</v>
      </c>
      <c r="C13" s="5">
        <v>758</v>
      </c>
      <c r="D13" s="20">
        <v>24.190900000000003</v>
      </c>
      <c r="E13" s="21">
        <f t="shared" si="0"/>
        <v>0.80985118469121453</v>
      </c>
      <c r="F13" s="21">
        <f t="shared" si="1"/>
        <v>0.93070272111911556</v>
      </c>
      <c r="G13" s="21">
        <f t="shared" si="2"/>
        <v>1.7249055942601701</v>
      </c>
    </row>
    <row r="14" spans="1:7" x14ac:dyDescent="0.25">
      <c r="A14" s="5">
        <v>2017</v>
      </c>
      <c r="B14" s="19">
        <v>14052.671701720841</v>
      </c>
      <c r="C14" s="5">
        <v>758</v>
      </c>
      <c r="D14" s="20">
        <v>24.592599999999997</v>
      </c>
      <c r="E14" s="21">
        <f t="shared" si="0"/>
        <v>0.75385053736593066</v>
      </c>
      <c r="F14" s="21">
        <f t="shared" si="1"/>
        <v>0.80640785455061714</v>
      </c>
      <c r="G14" s="21">
        <f t="shared" si="2"/>
        <v>1.4945453451528885</v>
      </c>
    </row>
    <row r="15" spans="1:7" x14ac:dyDescent="0.25">
      <c r="A15" s="5">
        <v>2018</v>
      </c>
      <c r="B15" s="19">
        <v>13544.021988527726</v>
      </c>
      <c r="C15" s="5">
        <v>788</v>
      </c>
      <c r="D15" s="20">
        <v>24.9633</v>
      </c>
      <c r="E15" s="21">
        <f t="shared" si="0"/>
        <v>0.68852456057918021</v>
      </c>
      <c r="F15" s="21">
        <f t="shared" si="1"/>
        <v>0.75074209421210847</v>
      </c>
      <c r="G15" s="21">
        <f t="shared" si="2"/>
        <v>1.3913779435349118</v>
      </c>
    </row>
    <row r="16" spans="1:7" x14ac:dyDescent="0.25">
      <c r="A16" s="5">
        <v>2019</v>
      </c>
      <c r="B16" s="19">
        <v>13312</v>
      </c>
      <c r="C16" s="5">
        <v>788</v>
      </c>
      <c r="D16" s="20">
        <v>25.334799999999998</v>
      </c>
      <c r="E16" s="21">
        <f t="shared" si="0"/>
        <v>0.66680617234903883</v>
      </c>
      <c r="F16" s="21">
        <f t="shared" si="1"/>
        <v>0.7030604234313832</v>
      </c>
      <c r="G16" s="21">
        <f t="shared" si="2"/>
        <v>1.3030077488346661</v>
      </c>
    </row>
    <row r="17" spans="1:7" x14ac:dyDescent="0.25">
      <c r="A17" s="5">
        <v>2020</v>
      </c>
      <c r="B17" s="19">
        <v>12586</v>
      </c>
      <c r="C17" s="5">
        <v>913</v>
      </c>
      <c r="D17" s="20">
        <v>25.6492</v>
      </c>
      <c r="E17" s="21">
        <f t="shared" si="0"/>
        <v>0.53745626025857784</v>
      </c>
      <c r="F17" s="21">
        <f t="shared" si="1"/>
        <v>0.63092899772893229</v>
      </c>
      <c r="G17" s="21">
        <f t="shared" si="2"/>
        <v>1.1693239238142432</v>
      </c>
    </row>
    <row r="18" spans="1:7" x14ac:dyDescent="0.25">
      <c r="A18" s="5">
        <v>2021</v>
      </c>
      <c r="B18" s="19">
        <v>12162</v>
      </c>
      <c r="C18" s="5">
        <v>913</v>
      </c>
      <c r="D18" s="20">
        <v>25.685400000000001</v>
      </c>
      <c r="E18" s="21">
        <f t="shared" si="0"/>
        <v>0.5186183607734981</v>
      </c>
      <c r="F18" s="21">
        <f t="shared" si="1"/>
        <v>0.57429359779370504</v>
      </c>
      <c r="G18" s="21">
        <f t="shared" si="2"/>
        <v>1.0643594534579426</v>
      </c>
    </row>
    <row r="19" spans="1:7" x14ac:dyDescent="0.25">
      <c r="A19" s="5">
        <v>2022</v>
      </c>
      <c r="B19" s="19">
        <v>12877</v>
      </c>
      <c r="C19" s="5">
        <v>913</v>
      </c>
      <c r="D19" s="20">
        <v>26.014400000000002</v>
      </c>
      <c r="E19" s="21">
        <f t="shared" si="0"/>
        <v>0.54216328548542692</v>
      </c>
      <c r="F19" s="21">
        <f t="shared" si="1"/>
        <v>0.53274596883916769</v>
      </c>
      <c r="G19" s="21">
        <f t="shared" si="2"/>
        <v>0.98735770414989998</v>
      </c>
    </row>
    <row r="20" spans="1:7" x14ac:dyDescent="0.25">
      <c r="A20" s="5">
        <v>2023</v>
      </c>
      <c r="B20" s="19">
        <v>13737</v>
      </c>
      <c r="C20" s="5">
        <v>913</v>
      </c>
      <c r="D20" s="20">
        <v>26.652799999999999</v>
      </c>
      <c r="E20" s="21">
        <f t="shared" si="0"/>
        <v>0.56451863183532325</v>
      </c>
      <c r="F20" s="21">
        <f t="shared" si="1"/>
        <v>0.54176675936474938</v>
      </c>
      <c r="G20" s="21">
        <f t="shared" si="2"/>
        <v>1.0040762671122119</v>
      </c>
    </row>
    <row r="21" spans="1:7" x14ac:dyDescent="0.25">
      <c r="A21" s="5">
        <v>2024</v>
      </c>
      <c r="B21" s="19">
        <v>14421.132218975225</v>
      </c>
      <c r="C21" s="5">
        <v>1013</v>
      </c>
      <c r="D21" s="20">
        <v>27.204799999999999</v>
      </c>
      <c r="E21" s="21">
        <f t="shared" si="0"/>
        <v>0.52329233792721408</v>
      </c>
      <c r="F21" s="21">
        <f t="shared" si="1"/>
        <v>0.54332475174932138</v>
      </c>
      <c r="G21" s="21">
        <f t="shared" si="2"/>
        <v>1.0069637517181789</v>
      </c>
    </row>
    <row r="22" spans="1:7" x14ac:dyDescent="0.25">
      <c r="A22" s="5">
        <v>2025</v>
      </c>
      <c r="B22" s="19">
        <v>15143.18758896733</v>
      </c>
      <c r="C22" s="5">
        <v>1033</v>
      </c>
      <c r="D22" s="20">
        <v>27.612871999999996</v>
      </c>
      <c r="E22" s="21">
        <f t="shared" si="0"/>
        <v>0.53089104653819286</v>
      </c>
      <c r="F22" s="21">
        <f t="shared" si="1"/>
        <v>0.5395673387669101</v>
      </c>
      <c r="G22" s="21">
        <f t="shared" si="2"/>
        <v>1</v>
      </c>
    </row>
    <row r="23" spans="1:7" x14ac:dyDescent="0.25">
      <c r="A23" s="22">
        <v>2026</v>
      </c>
      <c r="B23" s="23">
        <v>15143.18758896733</v>
      </c>
      <c r="C23" s="22">
        <v>1033</v>
      </c>
      <c r="D23" s="24">
        <v>27.612871999999996</v>
      </c>
      <c r="E23" s="25">
        <f t="shared" si="0"/>
        <v>0.53089104653819286</v>
      </c>
      <c r="F23" s="25">
        <f t="shared" si="1"/>
        <v>0.5283581436678666</v>
      </c>
      <c r="G23" s="25">
        <f t="shared" si="2"/>
        <v>0.97922558632874213</v>
      </c>
    </row>
    <row r="24" spans="1:7" x14ac:dyDescent="0.25">
      <c r="A24" s="22">
        <v>2027</v>
      </c>
      <c r="B24" s="23">
        <v>15143.18758896733</v>
      </c>
      <c r="C24" s="22">
        <v>1033</v>
      </c>
      <c r="D24" s="24">
        <v>27.612871999999996</v>
      </c>
      <c r="E24" s="25">
        <f t="shared" si="0"/>
        <v>0.53089104653819286</v>
      </c>
      <c r="F24" s="25">
        <f t="shared" si="1"/>
        <v>0.53089104653819286</v>
      </c>
      <c r="G24" s="25">
        <f t="shared" si="2"/>
        <v>0.98391990840560251</v>
      </c>
    </row>
    <row r="25" spans="1:7" x14ac:dyDescent="0.25">
      <c r="A25" s="22">
        <v>2028</v>
      </c>
      <c r="B25" s="23">
        <v>15143.18758896733</v>
      </c>
      <c r="C25" s="22">
        <v>1033</v>
      </c>
      <c r="D25" s="24">
        <v>27.612871999999996</v>
      </c>
      <c r="E25" s="25">
        <f t="shared" si="0"/>
        <v>0.53089104653819286</v>
      </c>
      <c r="F25" s="25">
        <f t="shared" si="1"/>
        <v>0.53089104653819286</v>
      </c>
      <c r="G25" s="25">
        <f t="shared" si="2"/>
        <v>0.98391990840560251</v>
      </c>
    </row>
    <row r="26" spans="1:7" x14ac:dyDescent="0.25">
      <c r="A26" s="22">
        <v>2029</v>
      </c>
      <c r="B26" s="23">
        <v>15143.18758896733</v>
      </c>
      <c r="C26" s="22">
        <v>1033</v>
      </c>
      <c r="D26" s="24">
        <v>27.612871999999996</v>
      </c>
      <c r="E26" s="25">
        <f t="shared" si="0"/>
        <v>0.53089104653819286</v>
      </c>
      <c r="F26" s="25">
        <f t="shared" si="1"/>
        <v>0.53089104653819286</v>
      </c>
      <c r="G26" s="25">
        <f t="shared" si="2"/>
        <v>0.98391990840560251</v>
      </c>
    </row>
    <row r="27" spans="1:7" x14ac:dyDescent="0.25">
      <c r="A27" s="22">
        <v>2030</v>
      </c>
      <c r="B27" s="23">
        <v>15143.18758896733</v>
      </c>
      <c r="C27" s="22">
        <v>1033</v>
      </c>
      <c r="D27" s="24">
        <v>27.612871999999996</v>
      </c>
      <c r="E27" s="25">
        <f t="shared" si="0"/>
        <v>0.53089104653819286</v>
      </c>
      <c r="F27" s="25">
        <f t="shared" si="1"/>
        <v>0.53089104653819286</v>
      </c>
      <c r="G27" s="25">
        <f t="shared" si="2"/>
        <v>0.98391990840560251</v>
      </c>
    </row>
    <row r="28" spans="1:7" x14ac:dyDescent="0.25">
      <c r="A28" s="22">
        <v>2031</v>
      </c>
      <c r="B28" s="23">
        <v>15143.18758896733</v>
      </c>
      <c r="C28" s="22">
        <v>1033</v>
      </c>
      <c r="D28" s="24">
        <v>27.612871999999996</v>
      </c>
      <c r="E28" s="25">
        <f t="shared" si="0"/>
        <v>0.53089104653819286</v>
      </c>
      <c r="F28" s="25">
        <f t="shared" si="1"/>
        <v>0.53089104653819286</v>
      </c>
      <c r="G28" s="25">
        <f t="shared" si="2"/>
        <v>0.98391990840560251</v>
      </c>
    </row>
    <row r="29" spans="1:7" x14ac:dyDescent="0.25">
      <c r="A29" s="22">
        <v>2032</v>
      </c>
      <c r="B29" s="23">
        <v>15143.18758896733</v>
      </c>
      <c r="C29" s="22">
        <v>1033</v>
      </c>
      <c r="D29" s="24">
        <v>27.612871999999996</v>
      </c>
      <c r="E29" s="25">
        <f t="shared" si="0"/>
        <v>0.53089104653819286</v>
      </c>
      <c r="F29" s="25">
        <f t="shared" si="1"/>
        <v>0.53089104653819286</v>
      </c>
      <c r="G29" s="25">
        <f t="shared" si="2"/>
        <v>0.98391990840560251</v>
      </c>
    </row>
    <row r="30" spans="1:7" x14ac:dyDescent="0.25">
      <c r="A30" s="22">
        <v>2033</v>
      </c>
      <c r="B30" s="23">
        <v>15143.187588967299</v>
      </c>
      <c r="C30" s="22">
        <v>1033</v>
      </c>
      <c r="D30" s="24">
        <v>27.612871999999999</v>
      </c>
      <c r="E30" s="25">
        <f t="shared" si="0"/>
        <v>0.53089104653819164</v>
      </c>
      <c r="F30" s="25">
        <f t="shared" si="1"/>
        <v>0.53089104653819241</v>
      </c>
      <c r="G30" s="25">
        <f t="shared" ref="G30" si="3">F30/$F$22</f>
        <v>0.98391990840560162</v>
      </c>
    </row>
  </sheetData>
  <sheetProtection algorithmName="SHA-512" hashValue="PFTG5ZzMI+sU1RnDhLCfYsZj6cLLEqTAOJmu+B8kd5CSfV6nH/gc/z2nChV9k1l6CjDP8pNkzQ3vBRrLADnq5w==" saltValue="jIIb4W9ju8WqgLSTidlxxg==" spinCount="100000"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70045-4413-4E65-B10D-EFDBA20CA080}">
  <sheetPr>
    <tabColor theme="9" tint="0.79998168889431442"/>
  </sheetPr>
  <dimension ref="A1:I30"/>
  <sheetViews>
    <sheetView workbookViewId="0">
      <pane xSplit="3" ySplit="1" topLeftCell="F2" activePane="bottomRight" state="frozen"/>
      <selection activeCell="D45" sqref="D45"/>
      <selection pane="topRight" activeCell="D45" sqref="D45"/>
      <selection pane="bottomLeft" activeCell="D45" sqref="D45"/>
      <selection pane="bottomRight"/>
    </sheetView>
  </sheetViews>
  <sheetFormatPr defaultColWidth="8.7109375" defaultRowHeight="15" x14ac:dyDescent="0.25"/>
  <cols>
    <col min="1" max="1" width="20.5703125" style="4" customWidth="1"/>
    <col min="2" max="2" width="20.5703125" style="5" customWidth="1"/>
    <col min="3" max="3" width="17.5703125" style="18" customWidth="1"/>
    <col min="4" max="4" width="17.42578125" style="8" customWidth="1"/>
    <col min="5" max="5" width="16.5703125" style="8" customWidth="1"/>
    <col min="6" max="6" width="14.42578125" style="4" customWidth="1"/>
    <col min="7" max="7" width="14.5703125" style="4" customWidth="1"/>
    <col min="8" max="8" width="18.5703125" style="4" customWidth="1"/>
    <col min="9" max="9" width="19" style="4" customWidth="1"/>
    <col min="10" max="16384" width="8.7109375" style="4"/>
  </cols>
  <sheetData>
    <row r="1" spans="1:9" ht="39.950000000000003" customHeight="1" x14ac:dyDescent="0.25">
      <c r="A1" s="12" t="s">
        <v>101</v>
      </c>
      <c r="B1" s="7" t="s">
        <v>76</v>
      </c>
      <c r="C1" s="16" t="s">
        <v>102</v>
      </c>
      <c r="D1" s="17" t="s">
        <v>36</v>
      </c>
      <c r="E1" s="17" t="s">
        <v>37</v>
      </c>
      <c r="F1" s="7" t="s">
        <v>103</v>
      </c>
      <c r="G1" s="7" t="s">
        <v>104</v>
      </c>
      <c r="H1" s="7" t="s">
        <v>105</v>
      </c>
      <c r="I1" s="7" t="s">
        <v>106</v>
      </c>
    </row>
    <row r="2" spans="1:9" x14ac:dyDescent="0.25">
      <c r="A2" s="26" t="s">
        <v>53</v>
      </c>
      <c r="B2" s="5" t="s">
        <v>27</v>
      </c>
      <c r="C2" s="18">
        <v>41395</v>
      </c>
      <c r="D2" s="8">
        <v>42005</v>
      </c>
      <c r="E2" s="8">
        <v>47483</v>
      </c>
      <c r="F2" s="19">
        <f>YEARFRAC(D2,E2)</f>
        <v>15</v>
      </c>
      <c r="G2" s="29">
        <f>E2-D2+1</f>
        <v>5479</v>
      </c>
      <c r="H2" s="29">
        <v>1873902000</v>
      </c>
      <c r="I2" s="15">
        <v>1.365464793693129</v>
      </c>
    </row>
    <row r="3" spans="1:9" x14ac:dyDescent="0.25">
      <c r="A3" s="26" t="s">
        <v>53</v>
      </c>
      <c r="B3" s="5" t="s">
        <v>27</v>
      </c>
      <c r="C3" s="18">
        <v>42826</v>
      </c>
      <c r="D3" s="8">
        <v>43191</v>
      </c>
      <c r="E3" s="8">
        <v>47483</v>
      </c>
      <c r="F3" s="19">
        <f t="shared" ref="F3:F30" si="0">YEARFRAC(D3,E3)</f>
        <v>11.75</v>
      </c>
      <c r="G3" s="29">
        <f t="shared" ref="G3:G30" si="1">E3-D3+1</f>
        <v>4293</v>
      </c>
      <c r="H3" s="29">
        <v>1544590000</v>
      </c>
      <c r="I3" s="15">
        <v>2.2510070064394725</v>
      </c>
    </row>
    <row r="4" spans="1:9" x14ac:dyDescent="0.25">
      <c r="A4" s="26" t="s">
        <v>53</v>
      </c>
      <c r="B4" s="37" t="s">
        <v>164</v>
      </c>
      <c r="C4" s="18">
        <v>44531</v>
      </c>
      <c r="D4" s="8">
        <v>45474</v>
      </c>
      <c r="E4" s="8">
        <v>52778</v>
      </c>
      <c r="F4" s="19">
        <f t="shared" si="0"/>
        <v>19.997222222222224</v>
      </c>
      <c r="G4" s="29">
        <f t="shared" si="1"/>
        <v>7305</v>
      </c>
      <c r="H4" s="29">
        <v>2091618000</v>
      </c>
      <c r="I4" s="15">
        <v>1.2060149738651436</v>
      </c>
    </row>
    <row r="5" spans="1:9" x14ac:dyDescent="0.25">
      <c r="A5" s="26" t="s">
        <v>54</v>
      </c>
      <c r="B5" s="5" t="s">
        <v>77</v>
      </c>
      <c r="C5" s="18">
        <v>44713</v>
      </c>
      <c r="D5" s="8">
        <v>44713</v>
      </c>
      <c r="E5" s="8">
        <v>52017</v>
      </c>
      <c r="F5" s="19">
        <f t="shared" si="0"/>
        <v>20</v>
      </c>
      <c r="G5" s="29">
        <f t="shared" si="1"/>
        <v>7305</v>
      </c>
      <c r="H5" s="29">
        <v>485952400</v>
      </c>
      <c r="I5" s="15">
        <v>0.32269447540224289</v>
      </c>
    </row>
    <row r="6" spans="1:9" x14ac:dyDescent="0.25">
      <c r="A6" s="26" t="s">
        <v>55</v>
      </c>
      <c r="B6" s="5" t="s">
        <v>78</v>
      </c>
      <c r="C6" s="18">
        <v>43556</v>
      </c>
      <c r="D6" s="8">
        <v>44343</v>
      </c>
      <c r="E6" s="8">
        <v>51648</v>
      </c>
      <c r="F6" s="19">
        <f t="shared" si="0"/>
        <v>20</v>
      </c>
      <c r="G6" s="29">
        <f t="shared" si="1"/>
        <v>7306</v>
      </c>
      <c r="H6" s="29">
        <v>3470328000</v>
      </c>
      <c r="I6" s="15">
        <v>1.41038707991329</v>
      </c>
    </row>
    <row r="7" spans="1:9" x14ac:dyDescent="0.25">
      <c r="A7" s="26" t="s">
        <v>56</v>
      </c>
      <c r="B7" s="5" t="s">
        <v>27</v>
      </c>
      <c r="C7" s="18">
        <v>44409</v>
      </c>
      <c r="D7" s="8">
        <v>44420</v>
      </c>
      <c r="E7" s="8">
        <v>49898</v>
      </c>
      <c r="F7" s="19">
        <f t="shared" si="0"/>
        <v>14.997222222222222</v>
      </c>
      <c r="G7" s="29">
        <f t="shared" si="1"/>
        <v>5479</v>
      </c>
      <c r="H7" s="29">
        <v>18156480.191120844</v>
      </c>
      <c r="I7" s="15">
        <v>0.56335244119391181</v>
      </c>
    </row>
    <row r="8" spans="1:9" x14ac:dyDescent="0.25">
      <c r="A8" s="26" t="s">
        <v>56</v>
      </c>
      <c r="B8" s="5" t="s">
        <v>79</v>
      </c>
      <c r="C8" s="18">
        <v>44986</v>
      </c>
      <c r="D8" s="8">
        <v>45584</v>
      </c>
      <c r="E8" s="8">
        <v>52888</v>
      </c>
      <c r="F8" s="19">
        <f t="shared" si="0"/>
        <v>19.997222222222224</v>
      </c>
      <c r="G8" s="29">
        <f t="shared" si="1"/>
        <v>7305</v>
      </c>
      <c r="H8" s="29">
        <v>126427425</v>
      </c>
      <c r="I8" s="15">
        <v>0.24942771322035237</v>
      </c>
    </row>
    <row r="9" spans="1:9" x14ac:dyDescent="0.25">
      <c r="A9" s="26" t="s">
        <v>57</v>
      </c>
      <c r="B9" s="5" t="s">
        <v>27</v>
      </c>
      <c r="C9" s="18">
        <v>44136</v>
      </c>
      <c r="D9" s="8">
        <v>44136</v>
      </c>
      <c r="E9" s="8">
        <v>49856</v>
      </c>
      <c r="F9" s="19">
        <f t="shared" si="0"/>
        <v>15.66388888888889</v>
      </c>
      <c r="G9" s="29">
        <f t="shared" si="1"/>
        <v>5721</v>
      </c>
      <c r="H9" s="29">
        <v>3990000000</v>
      </c>
      <c r="I9" s="15">
        <v>6.2325967622362741</v>
      </c>
    </row>
    <row r="10" spans="1:9" x14ac:dyDescent="0.25">
      <c r="A10" s="26" t="s">
        <v>58</v>
      </c>
      <c r="B10" s="5" t="s">
        <v>27</v>
      </c>
      <c r="C10" s="18">
        <v>44866</v>
      </c>
      <c r="D10" s="8">
        <v>44866</v>
      </c>
      <c r="E10" s="8">
        <v>53996</v>
      </c>
      <c r="F10" s="19">
        <f t="shared" si="0"/>
        <v>25</v>
      </c>
      <c r="G10" s="29">
        <f t="shared" si="1"/>
        <v>9131</v>
      </c>
      <c r="H10" s="29">
        <v>6120000</v>
      </c>
      <c r="I10" s="15">
        <v>0.15169902912621358</v>
      </c>
    </row>
    <row r="11" spans="1:9" x14ac:dyDescent="0.25">
      <c r="A11" s="26" t="s">
        <v>59</v>
      </c>
      <c r="B11" s="5" t="s">
        <v>27</v>
      </c>
      <c r="C11" s="18">
        <v>44166</v>
      </c>
      <c r="D11" s="8">
        <v>44166</v>
      </c>
      <c r="E11" s="8">
        <v>49643</v>
      </c>
      <c r="F11" s="19">
        <f t="shared" si="0"/>
        <v>14.997222222222222</v>
      </c>
      <c r="G11" s="29">
        <f t="shared" si="1"/>
        <v>5478</v>
      </c>
      <c r="H11" s="29">
        <v>151718051</v>
      </c>
      <c r="I11" s="15">
        <v>0.23594234143279738</v>
      </c>
    </row>
    <row r="12" spans="1:9" x14ac:dyDescent="0.25">
      <c r="A12" s="26" t="s">
        <v>60</v>
      </c>
      <c r="B12" s="5" t="s">
        <v>80</v>
      </c>
      <c r="C12" s="18">
        <v>43435</v>
      </c>
      <c r="D12" s="8">
        <v>43435</v>
      </c>
      <c r="E12" s="8">
        <v>48913</v>
      </c>
      <c r="F12" s="19">
        <f t="shared" si="0"/>
        <v>14.997222222222222</v>
      </c>
      <c r="G12" s="29">
        <f t="shared" si="1"/>
        <v>5479</v>
      </c>
      <c r="H12" s="29">
        <v>565500000</v>
      </c>
      <c r="I12" s="15">
        <v>1.5116683151113368</v>
      </c>
    </row>
    <row r="13" spans="1:9" x14ac:dyDescent="0.25">
      <c r="A13" s="26" t="s">
        <v>60</v>
      </c>
      <c r="B13" s="5" t="s">
        <v>27</v>
      </c>
      <c r="C13" s="18">
        <v>44470</v>
      </c>
      <c r="D13" s="8">
        <v>44470</v>
      </c>
      <c r="E13" s="8">
        <v>49948</v>
      </c>
      <c r="F13" s="19">
        <f t="shared" si="0"/>
        <v>14.997222222222222</v>
      </c>
      <c r="G13" s="29">
        <f t="shared" si="1"/>
        <v>5479</v>
      </c>
      <c r="H13" s="29">
        <v>2680000000</v>
      </c>
      <c r="I13" s="15">
        <v>7.1936652798282106</v>
      </c>
    </row>
    <row r="14" spans="1:9" x14ac:dyDescent="0.25">
      <c r="A14" s="26" t="s">
        <v>61</v>
      </c>
      <c r="B14" s="5" t="s">
        <v>80</v>
      </c>
      <c r="C14" s="18">
        <v>44197</v>
      </c>
      <c r="D14" s="8">
        <v>44197</v>
      </c>
      <c r="E14" s="8">
        <v>49674</v>
      </c>
      <c r="F14" s="19">
        <f t="shared" si="0"/>
        <v>15</v>
      </c>
      <c r="G14" s="29">
        <f t="shared" si="1"/>
        <v>5478</v>
      </c>
      <c r="H14" s="29">
        <v>73800000000</v>
      </c>
      <c r="I14" s="15">
        <v>126.15691273726345</v>
      </c>
    </row>
    <row r="15" spans="1:9" x14ac:dyDescent="0.25">
      <c r="A15" s="26" t="s">
        <v>62</v>
      </c>
      <c r="B15" s="5" t="s">
        <v>81</v>
      </c>
      <c r="C15" s="18">
        <v>42887</v>
      </c>
      <c r="D15" s="8">
        <v>42887</v>
      </c>
      <c r="E15" s="8">
        <v>48365</v>
      </c>
      <c r="F15" s="19">
        <f t="shared" si="0"/>
        <v>15</v>
      </c>
      <c r="G15" s="29">
        <f t="shared" si="1"/>
        <v>5479</v>
      </c>
      <c r="H15" s="29">
        <v>105000000</v>
      </c>
      <c r="I15" s="15">
        <v>5.0960978450786252</v>
      </c>
    </row>
    <row r="16" spans="1:9" x14ac:dyDescent="0.25">
      <c r="A16" s="26" t="s">
        <v>63</v>
      </c>
      <c r="B16" s="5" t="s">
        <v>27</v>
      </c>
      <c r="C16" s="18">
        <v>43374</v>
      </c>
      <c r="D16" s="8">
        <v>43374</v>
      </c>
      <c r="E16" s="8">
        <v>48852</v>
      </c>
      <c r="F16" s="19">
        <f t="shared" si="0"/>
        <v>14.997222222222222</v>
      </c>
      <c r="G16" s="29">
        <f t="shared" si="1"/>
        <v>5479</v>
      </c>
      <c r="H16" s="29">
        <v>2309909118</v>
      </c>
      <c r="I16" s="15">
        <v>0.63706218681473292</v>
      </c>
    </row>
    <row r="17" spans="1:9" x14ac:dyDescent="0.25">
      <c r="A17" s="26" t="s">
        <v>64</v>
      </c>
      <c r="B17" s="5" t="s">
        <v>27</v>
      </c>
      <c r="C17" s="18">
        <v>44774</v>
      </c>
      <c r="D17" s="8">
        <v>44845</v>
      </c>
      <c r="E17" s="8">
        <v>52150</v>
      </c>
      <c r="F17" s="19">
        <f t="shared" si="0"/>
        <v>20</v>
      </c>
      <c r="G17" s="29">
        <f t="shared" si="1"/>
        <v>7306</v>
      </c>
      <c r="H17" s="29">
        <v>29900000</v>
      </c>
      <c r="I17" s="15">
        <v>0.26741114884480172</v>
      </c>
    </row>
    <row r="18" spans="1:9" x14ac:dyDescent="0.25">
      <c r="A18" s="26" t="s">
        <v>65</v>
      </c>
      <c r="B18" s="5" t="s">
        <v>27</v>
      </c>
      <c r="C18" s="18">
        <v>44044</v>
      </c>
      <c r="D18" s="8">
        <v>44046</v>
      </c>
      <c r="E18" s="8">
        <v>49524</v>
      </c>
      <c r="F18" s="19">
        <f t="shared" si="0"/>
        <v>15</v>
      </c>
      <c r="G18" s="29">
        <f t="shared" si="1"/>
        <v>5479</v>
      </c>
      <c r="H18" s="29">
        <v>41330000</v>
      </c>
      <c r="I18" s="15">
        <v>1.1112007313007475</v>
      </c>
    </row>
    <row r="19" spans="1:9" x14ac:dyDescent="0.25">
      <c r="A19" s="26" t="s">
        <v>66</v>
      </c>
      <c r="B19" s="5" t="s">
        <v>80</v>
      </c>
      <c r="C19" s="18">
        <v>42856</v>
      </c>
      <c r="D19" s="8">
        <v>43101</v>
      </c>
      <c r="E19" s="8">
        <v>48944</v>
      </c>
      <c r="F19" s="19">
        <f t="shared" si="0"/>
        <v>16</v>
      </c>
      <c r="G19" s="29">
        <f t="shared" si="1"/>
        <v>5844</v>
      </c>
      <c r="H19" s="29">
        <v>790236240</v>
      </c>
      <c r="I19" s="15">
        <v>3.7437972927645977</v>
      </c>
    </row>
    <row r="20" spans="1:9" x14ac:dyDescent="0.25">
      <c r="A20" s="26" t="s">
        <v>67</v>
      </c>
      <c r="B20" s="37" t="s">
        <v>77</v>
      </c>
      <c r="C20" s="18">
        <v>44470</v>
      </c>
      <c r="D20" s="8">
        <v>44589</v>
      </c>
      <c r="E20" s="8">
        <v>52228</v>
      </c>
      <c r="F20" s="19">
        <f t="shared" si="0"/>
        <v>20.916666666666668</v>
      </c>
      <c r="G20" s="29">
        <f t="shared" si="1"/>
        <v>7640</v>
      </c>
      <c r="H20" s="29">
        <v>150000000</v>
      </c>
      <c r="I20" s="15">
        <v>0.21404770791207317</v>
      </c>
    </row>
    <row r="21" spans="1:9" x14ac:dyDescent="0.25">
      <c r="A21" s="26" t="s">
        <v>68</v>
      </c>
      <c r="B21" s="5" t="s">
        <v>27</v>
      </c>
      <c r="C21" s="18">
        <v>42826</v>
      </c>
      <c r="D21" s="8">
        <v>43101</v>
      </c>
      <c r="E21" s="8">
        <v>48579</v>
      </c>
      <c r="F21" s="19">
        <f t="shared" si="0"/>
        <v>15</v>
      </c>
      <c r="G21" s="29">
        <f t="shared" si="1"/>
        <v>5479</v>
      </c>
      <c r="H21" s="29">
        <v>846000000</v>
      </c>
      <c r="I21" s="15">
        <v>1.674907568265847</v>
      </c>
    </row>
    <row r="22" spans="1:9" x14ac:dyDescent="0.25">
      <c r="A22" s="26" t="s">
        <v>68</v>
      </c>
      <c r="B22" s="5" t="s">
        <v>80</v>
      </c>
      <c r="C22" s="18">
        <v>42826</v>
      </c>
      <c r="D22" s="8">
        <v>42826</v>
      </c>
      <c r="E22" s="8">
        <v>48669</v>
      </c>
      <c r="F22" s="19">
        <f t="shared" si="0"/>
        <v>16</v>
      </c>
      <c r="G22" s="29">
        <f t="shared" si="1"/>
        <v>5844</v>
      </c>
      <c r="H22" s="29">
        <v>192000000</v>
      </c>
      <c r="I22" s="15">
        <v>0.85527194975277299</v>
      </c>
    </row>
    <row r="23" spans="1:9" x14ac:dyDescent="0.25">
      <c r="A23" s="26" t="s">
        <v>69</v>
      </c>
      <c r="B23" s="5" t="s">
        <v>27</v>
      </c>
      <c r="C23" s="18">
        <v>44136</v>
      </c>
      <c r="D23" s="8">
        <v>44158</v>
      </c>
      <c r="E23" s="8">
        <v>51501</v>
      </c>
      <c r="F23" s="19">
        <f t="shared" si="0"/>
        <v>20.105555555555554</v>
      </c>
      <c r="G23" s="29">
        <f t="shared" si="1"/>
        <v>7344</v>
      </c>
      <c r="H23" s="29">
        <v>97739000</v>
      </c>
      <c r="I23" s="15">
        <v>0.29867297877242743</v>
      </c>
    </row>
    <row r="24" spans="1:9" x14ac:dyDescent="0.25">
      <c r="A24" s="26" t="s">
        <v>70</v>
      </c>
      <c r="B24" s="5" t="s">
        <v>27</v>
      </c>
      <c r="C24" s="18">
        <v>44287</v>
      </c>
      <c r="D24" s="8">
        <v>44362</v>
      </c>
      <c r="E24" s="8">
        <v>49841</v>
      </c>
      <c r="F24" s="19">
        <f t="shared" si="0"/>
        <v>15</v>
      </c>
      <c r="G24" s="29">
        <f t="shared" si="1"/>
        <v>5480</v>
      </c>
      <c r="H24" s="29">
        <v>31386000</v>
      </c>
      <c r="I24" s="15">
        <v>0.19926385509468461</v>
      </c>
    </row>
    <row r="25" spans="1:9" x14ac:dyDescent="0.25">
      <c r="A25" s="26" t="s">
        <v>71</v>
      </c>
      <c r="B25" s="5" t="s">
        <v>27</v>
      </c>
      <c r="C25" s="18">
        <v>44378</v>
      </c>
      <c r="D25" s="8">
        <v>44531</v>
      </c>
      <c r="E25" s="8">
        <v>51836</v>
      </c>
      <c r="F25" s="19">
        <f t="shared" si="0"/>
        <v>20</v>
      </c>
      <c r="G25" s="29">
        <f t="shared" si="1"/>
        <v>7306</v>
      </c>
      <c r="H25" s="29">
        <v>1010089000</v>
      </c>
      <c r="I25" s="15">
        <v>0.35552818487858423</v>
      </c>
    </row>
    <row r="26" spans="1:9" x14ac:dyDescent="0.25">
      <c r="A26" s="26" t="s">
        <v>72</v>
      </c>
      <c r="B26" s="5" t="s">
        <v>27</v>
      </c>
      <c r="C26" s="18">
        <v>43435</v>
      </c>
      <c r="D26" s="8">
        <v>43448</v>
      </c>
      <c r="E26" s="8">
        <v>51501</v>
      </c>
      <c r="F26" s="19">
        <f t="shared" si="0"/>
        <v>22.047222222222221</v>
      </c>
      <c r="G26" s="29">
        <f t="shared" si="1"/>
        <v>8054</v>
      </c>
      <c r="H26" s="29">
        <v>2825594446</v>
      </c>
      <c r="I26" s="15">
        <v>6.9423492144142482</v>
      </c>
    </row>
    <row r="27" spans="1:9" x14ac:dyDescent="0.25">
      <c r="A27" s="26" t="s">
        <v>72</v>
      </c>
      <c r="B27" s="5" t="s">
        <v>80</v>
      </c>
      <c r="C27" s="18">
        <v>45170</v>
      </c>
      <c r="D27" s="8">
        <v>46023</v>
      </c>
      <c r="E27" s="8">
        <v>54423</v>
      </c>
      <c r="F27" s="19">
        <f t="shared" si="0"/>
        <v>23</v>
      </c>
      <c r="G27" s="29">
        <f t="shared" si="1"/>
        <v>8401</v>
      </c>
      <c r="H27" s="29">
        <v>2290191881</v>
      </c>
      <c r="I27" s="15">
        <v>3.11978744530255</v>
      </c>
    </row>
    <row r="28" spans="1:9" x14ac:dyDescent="0.25">
      <c r="A28" s="26" t="s">
        <v>73</v>
      </c>
      <c r="B28" s="5" t="s">
        <v>27</v>
      </c>
      <c r="C28" s="18">
        <v>43862</v>
      </c>
      <c r="D28" s="8">
        <v>43862</v>
      </c>
      <c r="E28" s="8">
        <v>49340</v>
      </c>
      <c r="F28" s="19">
        <f t="shared" si="0"/>
        <v>15</v>
      </c>
      <c r="G28" s="29">
        <f t="shared" si="1"/>
        <v>5479</v>
      </c>
      <c r="H28" s="29">
        <v>51460000000</v>
      </c>
      <c r="I28" s="15">
        <v>24.636539233616915</v>
      </c>
    </row>
    <row r="29" spans="1:9" x14ac:dyDescent="0.25">
      <c r="A29" s="26" t="s">
        <v>74</v>
      </c>
      <c r="B29" s="5" t="s">
        <v>27</v>
      </c>
      <c r="C29" s="18">
        <v>44256</v>
      </c>
      <c r="D29" s="8">
        <v>44313</v>
      </c>
      <c r="E29" s="8">
        <v>51617</v>
      </c>
      <c r="F29" s="19">
        <f t="shared" si="0"/>
        <v>19.997222222222224</v>
      </c>
      <c r="G29" s="29">
        <f t="shared" si="1"/>
        <v>7305</v>
      </c>
      <c r="H29" s="29">
        <v>840000000</v>
      </c>
      <c r="I29" s="15">
        <v>0.20947296601749996</v>
      </c>
    </row>
    <row r="30" spans="1:9" x14ac:dyDescent="0.25">
      <c r="A30" s="26" t="s">
        <v>75</v>
      </c>
      <c r="B30" s="5" t="s">
        <v>78</v>
      </c>
      <c r="C30" s="18">
        <v>42795</v>
      </c>
      <c r="D30" s="8">
        <v>42820</v>
      </c>
      <c r="E30" s="8">
        <v>47202</v>
      </c>
      <c r="F30" s="19">
        <f t="shared" si="0"/>
        <v>11.997222222222222</v>
      </c>
      <c r="G30" s="29">
        <f t="shared" si="1"/>
        <v>4383</v>
      </c>
      <c r="H30" s="29">
        <v>19768437378</v>
      </c>
      <c r="I30" s="15">
        <v>0.90269910476459114</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751BAC-FBF2-4554-8C87-847EDB6E41F9}">
  <sheetPr>
    <tabColor theme="9" tint="0.79998168889431442"/>
  </sheetPr>
  <dimension ref="A1:G30"/>
  <sheetViews>
    <sheetView workbookViewId="0">
      <pane xSplit="3" ySplit="1" topLeftCell="D2" activePane="bottomRight" state="frozen"/>
      <selection activeCell="D45" sqref="D45"/>
      <selection pane="topRight" activeCell="D45" sqref="D45"/>
      <selection pane="bottomLeft" activeCell="D45" sqref="D45"/>
      <selection pane="bottomRight" activeCell="G3" sqref="G3"/>
    </sheetView>
  </sheetViews>
  <sheetFormatPr defaultColWidth="8.7109375" defaultRowHeight="15" x14ac:dyDescent="0.25"/>
  <cols>
    <col min="1" max="1" width="20.5703125" style="4" customWidth="1"/>
    <col min="2" max="2" width="20.5703125" style="5" customWidth="1"/>
    <col min="3" max="3" width="17.5703125" style="4" customWidth="1"/>
    <col min="4" max="4" width="13.85546875" style="4" customWidth="1"/>
    <col min="5" max="5" width="16.42578125" style="4" customWidth="1"/>
    <col min="6" max="6" width="18.42578125" style="4" customWidth="1"/>
    <col min="7" max="7" width="17.42578125" style="4" customWidth="1"/>
    <col min="8" max="16384" width="8.7109375" style="4"/>
  </cols>
  <sheetData>
    <row r="1" spans="1:7" ht="39.950000000000003" customHeight="1" x14ac:dyDescent="0.25">
      <c r="A1" s="6" t="s">
        <v>101</v>
      </c>
      <c r="B1" s="7" t="s">
        <v>76</v>
      </c>
      <c r="C1" s="7" t="s">
        <v>82</v>
      </c>
      <c r="D1" s="7" t="s">
        <v>93</v>
      </c>
      <c r="E1" s="7" t="s">
        <v>104</v>
      </c>
      <c r="F1" s="7" t="s">
        <v>106</v>
      </c>
      <c r="G1" s="7" t="s">
        <v>107</v>
      </c>
    </row>
    <row r="2" spans="1:7" x14ac:dyDescent="0.25">
      <c r="A2" s="4" t="s">
        <v>53</v>
      </c>
      <c r="B2" s="5" t="s">
        <v>27</v>
      </c>
      <c r="C2" s="10">
        <v>41395</v>
      </c>
      <c r="D2" s="4">
        <f>IF(MONTH(C2)&lt;7,YEAR(C2),YEAR(C2)+1)</f>
        <v>2013</v>
      </c>
      <c r="E2" s="29">
        <v>5479</v>
      </c>
      <c r="F2" s="15">
        <v>1.365464793693129</v>
      </c>
      <c r="G2" s="15">
        <f>($F2)*((1-(1/(1+discount_rate!$C$3))^365)/(1-(1/(1+discount_rate!$C$3))^($E2)))</f>
        <v>0.1514148510972495</v>
      </c>
    </row>
    <row r="3" spans="1:7" x14ac:dyDescent="0.25">
      <c r="A3" s="4" t="s">
        <v>53</v>
      </c>
      <c r="B3" s="5" t="s">
        <v>27</v>
      </c>
      <c r="C3" s="10">
        <v>42826</v>
      </c>
      <c r="D3" s="4">
        <f t="shared" ref="D3:D30" si="0">IF(MONTH(C3)&lt;7,YEAR(C3),YEAR(C3)+1)</f>
        <v>2017</v>
      </c>
      <c r="E3" s="29">
        <v>4293</v>
      </c>
      <c r="F3" s="15">
        <v>2.2510070064394725</v>
      </c>
      <c r="G3" s="15">
        <f>($F3)*((1-(1/(1+discount_rate!$C$3))^365)/(1-(1/(1+discount_rate!$C$3))^($E3)))</f>
        <v>0.28573121573723842</v>
      </c>
    </row>
    <row r="4" spans="1:7" x14ac:dyDescent="0.25">
      <c r="A4" s="4" t="s">
        <v>53</v>
      </c>
      <c r="B4" s="5" t="s">
        <v>164</v>
      </c>
      <c r="C4" s="10">
        <v>44531</v>
      </c>
      <c r="D4" s="4">
        <f t="shared" si="0"/>
        <v>2022</v>
      </c>
      <c r="E4" s="29">
        <v>7305</v>
      </c>
      <c r="F4" s="15">
        <v>1.2060149738651436</v>
      </c>
      <c r="G4" s="15">
        <f>($F4)*((1-(1/(1+discount_rate!$C$3))^365)/(1-(1/(1+discount_rate!$C$3))^($E4)))</f>
        <v>0.11735032538526094</v>
      </c>
    </row>
    <row r="5" spans="1:7" x14ac:dyDescent="0.25">
      <c r="A5" s="4" t="s">
        <v>54</v>
      </c>
      <c r="B5" s="5" t="s">
        <v>77</v>
      </c>
      <c r="C5" s="10">
        <v>44713</v>
      </c>
      <c r="D5" s="4">
        <f t="shared" si="0"/>
        <v>2022</v>
      </c>
      <c r="E5" s="29">
        <v>7305</v>
      </c>
      <c r="F5" s="15">
        <v>0.32269447540224289</v>
      </c>
      <c r="G5" s="15">
        <f>($F5)*((1-(1/(1+discount_rate!$C$3))^365)/(1-(1/(1+discount_rate!$C$3))^($E5)))</f>
        <v>3.1399528620374921E-2</v>
      </c>
    </row>
    <row r="6" spans="1:7" x14ac:dyDescent="0.25">
      <c r="A6" s="4" t="s">
        <v>55</v>
      </c>
      <c r="B6" s="5" t="s">
        <v>78</v>
      </c>
      <c r="C6" s="10">
        <v>43556</v>
      </c>
      <c r="D6" s="4">
        <f t="shared" si="0"/>
        <v>2019</v>
      </c>
      <c r="E6" s="29">
        <v>7306</v>
      </c>
      <c r="F6" s="15">
        <v>1.41038707991329</v>
      </c>
      <c r="G6" s="15">
        <f>($F6)*((1-(1/(1+discount_rate!$C$3))^365)/(1-(1/(1+discount_rate!$C$3))^($E6)))</f>
        <v>0.13722913374964352</v>
      </c>
    </row>
    <row r="7" spans="1:7" x14ac:dyDescent="0.25">
      <c r="A7" s="4" t="s">
        <v>56</v>
      </c>
      <c r="B7" s="5" t="s">
        <v>27</v>
      </c>
      <c r="C7" s="10">
        <v>44409</v>
      </c>
      <c r="D7" s="4">
        <f t="shared" si="0"/>
        <v>2022</v>
      </c>
      <c r="E7" s="29">
        <v>5479</v>
      </c>
      <c r="F7" s="15">
        <v>0.56335244119391181</v>
      </c>
      <c r="G7" s="15">
        <f>($F7)*((1-(1/(1+discount_rate!$C$3))^365)/(1-(1/(1+discount_rate!$C$3))^($E7)))</f>
        <v>6.2469516894639351E-2</v>
      </c>
    </row>
    <row r="8" spans="1:7" x14ac:dyDescent="0.25">
      <c r="A8" s="4" t="s">
        <v>56</v>
      </c>
      <c r="B8" s="5" t="s">
        <v>79</v>
      </c>
      <c r="C8" s="10">
        <v>44986</v>
      </c>
      <c r="D8" s="4">
        <f t="shared" si="0"/>
        <v>2023</v>
      </c>
      <c r="E8" s="29">
        <v>7306</v>
      </c>
      <c r="F8" s="15">
        <v>0.24942771322035237</v>
      </c>
      <c r="G8" s="15">
        <f>($F8)*((1-(1/(1+discount_rate!$C$3))^365)/(1-(1/(1+discount_rate!$C$3))^($E8)))</f>
        <v>2.426904606959944E-2</v>
      </c>
    </row>
    <row r="9" spans="1:7" x14ac:dyDescent="0.25">
      <c r="A9" s="4" t="s">
        <v>57</v>
      </c>
      <c r="B9" s="5" t="s">
        <v>27</v>
      </c>
      <c r="C9" s="10">
        <v>44136</v>
      </c>
      <c r="D9" s="4">
        <f t="shared" si="0"/>
        <v>2021</v>
      </c>
      <c r="E9" s="29">
        <v>5721</v>
      </c>
      <c r="F9" s="15">
        <v>6.2325967622362741</v>
      </c>
      <c r="G9" s="15">
        <f>($F9)*((1-(1/(1+discount_rate!$C$3))^365)/(1-(1/(1+discount_rate!$C$3))^($E9)))</f>
        <v>0.67629335339333385</v>
      </c>
    </row>
    <row r="10" spans="1:7" x14ac:dyDescent="0.25">
      <c r="A10" s="4" t="s">
        <v>58</v>
      </c>
      <c r="B10" s="5" t="s">
        <v>27</v>
      </c>
      <c r="C10" s="10">
        <v>44866</v>
      </c>
      <c r="D10" s="4">
        <f t="shared" si="0"/>
        <v>2023</v>
      </c>
      <c r="E10" s="29">
        <v>9131</v>
      </c>
      <c r="F10" s="15">
        <v>0.15169902912621358</v>
      </c>
      <c r="G10" s="15">
        <f>($F10)*((1-(1/(1+discount_rate!$C$3))^365)/(1-(1/(1+discount_rate!$C$3))^($E10)))</f>
        <v>1.3648692217488189E-2</v>
      </c>
    </row>
    <row r="11" spans="1:7" x14ac:dyDescent="0.25">
      <c r="A11" s="4" t="s">
        <v>59</v>
      </c>
      <c r="B11" s="5" t="s">
        <v>27</v>
      </c>
      <c r="C11" s="10">
        <v>44166</v>
      </c>
      <c r="D11" s="4">
        <f t="shared" si="0"/>
        <v>2021</v>
      </c>
      <c r="E11" s="29">
        <v>5478</v>
      </c>
      <c r="F11" s="15">
        <v>0.23594234143279738</v>
      </c>
      <c r="G11" s="15">
        <f>($F11)*((1-(1/(1+discount_rate!$C$3))^365)/(1-(1/(1+discount_rate!$C$3))^($E11)))</f>
        <v>2.6165816396845291E-2</v>
      </c>
    </row>
    <row r="12" spans="1:7" x14ac:dyDescent="0.25">
      <c r="A12" s="4" t="s">
        <v>60</v>
      </c>
      <c r="B12" s="5" t="s">
        <v>80</v>
      </c>
      <c r="C12" s="10">
        <v>43435</v>
      </c>
      <c r="D12" s="4">
        <f t="shared" si="0"/>
        <v>2019</v>
      </c>
      <c r="E12" s="29">
        <v>5479</v>
      </c>
      <c r="F12" s="15">
        <v>1.5116683151113368</v>
      </c>
      <c r="G12" s="15">
        <f>($F12)*((1-(1/(1+discount_rate!$C$3))^365)/(1-(1/(1+discount_rate!$C$3))^($E12)))</f>
        <v>0.16762719470924201</v>
      </c>
    </row>
    <row r="13" spans="1:7" x14ac:dyDescent="0.25">
      <c r="A13" s="4" t="s">
        <v>60</v>
      </c>
      <c r="B13" s="5" t="s">
        <v>27</v>
      </c>
      <c r="C13" s="10">
        <v>44470</v>
      </c>
      <c r="D13" s="4">
        <f t="shared" si="0"/>
        <v>2022</v>
      </c>
      <c r="E13" s="29">
        <v>5479</v>
      </c>
      <c r="F13" s="15">
        <v>7.1936652798282106</v>
      </c>
      <c r="G13" s="15">
        <f>($F13)*((1-(1/(1+discount_rate!$C$3))^365)/(1-(1/(1+discount_rate!$C$3))^($E13)))</f>
        <v>0.79769743036921703</v>
      </c>
    </row>
    <row r="14" spans="1:7" x14ac:dyDescent="0.25">
      <c r="A14" s="4" t="s">
        <v>61</v>
      </c>
      <c r="B14" s="5" t="s">
        <v>80</v>
      </c>
      <c r="C14" s="10">
        <v>44197</v>
      </c>
      <c r="D14" s="4">
        <f t="shared" si="0"/>
        <v>2021</v>
      </c>
      <c r="E14" s="29">
        <v>5478</v>
      </c>
      <c r="F14" s="15">
        <v>126.15691273726345</v>
      </c>
      <c r="G14" s="15">
        <f>($F14)*((1-(1/(1+discount_rate!$C$3))^365)/(1-(1/(1+discount_rate!$C$3))^($E14)))</f>
        <v>13.990700422104103</v>
      </c>
    </row>
    <row r="15" spans="1:7" x14ac:dyDescent="0.25">
      <c r="A15" s="4" t="s">
        <v>62</v>
      </c>
      <c r="B15" s="5" t="s">
        <v>81</v>
      </c>
      <c r="C15" s="10">
        <v>42887</v>
      </c>
      <c r="D15" s="4">
        <f t="shared" si="0"/>
        <v>2017</v>
      </c>
      <c r="E15" s="29">
        <v>5479</v>
      </c>
      <c r="F15" s="15">
        <v>5.0960978450786252</v>
      </c>
      <c r="G15" s="15">
        <f>($F15)*((1-(1/(1+discount_rate!$C$3))^365)/(1-(1/(1+discount_rate!$C$3))^($E15)))</f>
        <v>0.56510054301920509</v>
      </c>
    </row>
    <row r="16" spans="1:7" x14ac:dyDescent="0.25">
      <c r="A16" s="4" t="s">
        <v>63</v>
      </c>
      <c r="B16" s="5" t="s">
        <v>27</v>
      </c>
      <c r="C16" s="10">
        <v>43374</v>
      </c>
      <c r="D16" s="4">
        <f t="shared" si="0"/>
        <v>2019</v>
      </c>
      <c r="E16" s="29">
        <v>5479</v>
      </c>
      <c r="F16" s="15">
        <v>0.63706218681473292</v>
      </c>
      <c r="G16" s="15">
        <f>($F16)*((1-(1/(1+discount_rate!$C$3))^365)/(1-(1/(1+discount_rate!$C$3))^($E16)))</f>
        <v>7.0643107461853205E-2</v>
      </c>
    </row>
    <row r="17" spans="1:7" x14ac:dyDescent="0.25">
      <c r="A17" s="4" t="s">
        <v>64</v>
      </c>
      <c r="B17" s="5" t="s">
        <v>27</v>
      </c>
      <c r="C17" s="10">
        <v>44774</v>
      </c>
      <c r="D17" s="4">
        <f t="shared" si="0"/>
        <v>2023</v>
      </c>
      <c r="E17" s="29">
        <v>7306</v>
      </c>
      <c r="F17" s="15">
        <v>0.26741114884480172</v>
      </c>
      <c r="G17" s="15">
        <f>($F17)*((1-(1/(1+discount_rate!$C$3))^365)/(1-(1/(1+discount_rate!$C$3))^($E17)))</f>
        <v>2.6018814858418313E-2</v>
      </c>
    </row>
    <row r="18" spans="1:7" x14ac:dyDescent="0.25">
      <c r="A18" s="4" t="s">
        <v>65</v>
      </c>
      <c r="B18" s="5" t="s">
        <v>27</v>
      </c>
      <c r="C18" s="10">
        <v>44044</v>
      </c>
      <c r="D18" s="4">
        <f t="shared" si="0"/>
        <v>2021</v>
      </c>
      <c r="E18" s="29">
        <v>5479</v>
      </c>
      <c r="F18" s="15">
        <v>1.1112007313007475</v>
      </c>
      <c r="G18" s="15">
        <f>($F18)*((1-(1/(1+discount_rate!$C$3))^365)/(1-(1/(1+discount_rate!$C$3))^($E18)))</f>
        <v>0.12321979595972653</v>
      </c>
    </row>
    <row r="19" spans="1:7" x14ac:dyDescent="0.25">
      <c r="A19" s="4" t="s">
        <v>66</v>
      </c>
      <c r="B19" s="5" t="s">
        <v>80</v>
      </c>
      <c r="C19" s="10">
        <v>42856</v>
      </c>
      <c r="D19" s="4">
        <f t="shared" si="0"/>
        <v>2017</v>
      </c>
      <c r="E19" s="29">
        <v>5844</v>
      </c>
      <c r="F19" s="15">
        <v>3.7437972927645977</v>
      </c>
      <c r="G19" s="15">
        <f>($F19)*((1-(1/(1+discount_rate!$C$3))^365)/(1-(1/(1+discount_rate!$C$3))^($E19)))</f>
        <v>0.4020262140204684</v>
      </c>
    </row>
    <row r="20" spans="1:7" x14ac:dyDescent="0.25">
      <c r="A20" s="4" t="s">
        <v>67</v>
      </c>
      <c r="B20" s="5" t="s">
        <v>77</v>
      </c>
      <c r="C20" s="10">
        <v>44470</v>
      </c>
      <c r="D20" s="4">
        <f t="shared" si="0"/>
        <v>2022</v>
      </c>
      <c r="E20" s="29">
        <v>7640</v>
      </c>
      <c r="F20" s="15">
        <v>0.21404770791207317</v>
      </c>
      <c r="G20" s="15">
        <f>($F20)*((1-(1/(1+discount_rate!$C$3))^365)/(1-(1/(1+discount_rate!$C$3))^($E20)))</f>
        <v>2.0468711732279724E-2</v>
      </c>
    </row>
    <row r="21" spans="1:7" x14ac:dyDescent="0.25">
      <c r="A21" s="4" t="s">
        <v>68</v>
      </c>
      <c r="B21" s="5" t="s">
        <v>27</v>
      </c>
      <c r="C21" s="10">
        <v>42826</v>
      </c>
      <c r="D21" s="4">
        <f t="shared" si="0"/>
        <v>2017</v>
      </c>
      <c r="E21" s="29">
        <v>5479</v>
      </c>
      <c r="F21" s="15">
        <v>1.674907568265847</v>
      </c>
      <c r="G21" s="15">
        <f>($F21)*((1-(1/(1+discount_rate!$C$3))^365)/(1-(1/(1+discount_rate!$C$3))^($E21)))</f>
        <v>0.18572861140177019</v>
      </c>
    </row>
    <row r="22" spans="1:7" x14ac:dyDescent="0.25">
      <c r="A22" s="4" t="s">
        <v>68</v>
      </c>
      <c r="B22" s="5" t="s">
        <v>80</v>
      </c>
      <c r="C22" s="10">
        <v>42826</v>
      </c>
      <c r="D22" s="4">
        <f t="shared" si="0"/>
        <v>2017</v>
      </c>
      <c r="E22" s="29">
        <v>5844</v>
      </c>
      <c r="F22" s="15">
        <v>0.85527194975277299</v>
      </c>
      <c r="G22" s="15">
        <f>($F22)*((1-(1/(1+discount_rate!$C$3))^365)/(1-(1/(1+discount_rate!$C$3))^($E22)))</f>
        <v>9.1843045183437957E-2</v>
      </c>
    </row>
    <row r="23" spans="1:7" x14ac:dyDescent="0.25">
      <c r="A23" s="4" t="s">
        <v>69</v>
      </c>
      <c r="B23" s="5" t="s">
        <v>27</v>
      </c>
      <c r="C23" s="10">
        <v>44136</v>
      </c>
      <c r="D23" s="4">
        <f t="shared" si="0"/>
        <v>2021</v>
      </c>
      <c r="E23" s="29">
        <v>7344</v>
      </c>
      <c r="F23" s="15">
        <v>0.29867297877242743</v>
      </c>
      <c r="G23" s="15">
        <f>($F23)*((1-(1/(1+discount_rate!$C$3))^365)/(1-(1/(1+discount_rate!$C$3))^($E23)))</f>
        <v>2.9000940214247435E-2</v>
      </c>
    </row>
    <row r="24" spans="1:7" x14ac:dyDescent="0.25">
      <c r="A24" s="4" t="s">
        <v>70</v>
      </c>
      <c r="B24" s="5" t="s">
        <v>27</v>
      </c>
      <c r="C24" s="10">
        <v>44287</v>
      </c>
      <c r="D24" s="4">
        <f t="shared" si="0"/>
        <v>2021</v>
      </c>
      <c r="E24" s="29">
        <v>5480</v>
      </c>
      <c r="F24" s="15">
        <v>0.19926385509468461</v>
      </c>
      <c r="G24" s="15">
        <f>($F24)*((1-(1/(1+discount_rate!$C$3))^365)/(1-(1/(1+discount_rate!$C$3))^($E24)))</f>
        <v>2.2094087508913948E-2</v>
      </c>
    </row>
    <row r="25" spans="1:7" x14ac:dyDescent="0.25">
      <c r="A25" s="4" t="s">
        <v>71</v>
      </c>
      <c r="B25" s="5" t="s">
        <v>27</v>
      </c>
      <c r="C25" s="10">
        <v>44378</v>
      </c>
      <c r="D25" s="4">
        <f t="shared" si="0"/>
        <v>2022</v>
      </c>
      <c r="E25" s="29">
        <v>7306</v>
      </c>
      <c r="F25" s="15">
        <v>0.35552818487858423</v>
      </c>
      <c r="G25" s="15">
        <f>($F25)*((1-(1/(1+discount_rate!$C$3))^365)/(1-(1/(1+discount_rate!$C$3))^($E25)))</f>
        <v>3.4592506928999053E-2</v>
      </c>
    </row>
    <row r="26" spans="1:7" x14ac:dyDescent="0.25">
      <c r="A26" s="4" t="s">
        <v>72</v>
      </c>
      <c r="B26" s="5" t="s">
        <v>27</v>
      </c>
      <c r="C26" s="10">
        <v>43435</v>
      </c>
      <c r="D26" s="4">
        <f t="shared" si="0"/>
        <v>2019</v>
      </c>
      <c r="E26" s="29">
        <v>8054</v>
      </c>
      <c r="F26" s="15">
        <v>6.9423492144142482</v>
      </c>
      <c r="G26" s="15">
        <f>($F26)*((1-(1/(1+discount_rate!$C$3))^365)/(1-(1/(1+discount_rate!$C$3))^($E26)))</f>
        <v>0.65111529316043071</v>
      </c>
    </row>
    <row r="27" spans="1:7" x14ac:dyDescent="0.25">
      <c r="A27" s="4" t="s">
        <v>72</v>
      </c>
      <c r="B27" s="5" t="s">
        <v>80</v>
      </c>
      <c r="C27" s="10">
        <v>45170</v>
      </c>
      <c r="D27" s="4">
        <f t="shared" si="0"/>
        <v>2024</v>
      </c>
      <c r="E27" s="29">
        <v>8401</v>
      </c>
      <c r="F27" s="15">
        <v>3.11978744530255</v>
      </c>
      <c r="G27" s="15">
        <f>($F27)*((1-(1/(1+discount_rate!$C$3))^365)/(1-(1/(1+discount_rate!$C$3))^($E27)))</f>
        <v>0.28833518276351949</v>
      </c>
    </row>
    <row r="28" spans="1:7" x14ac:dyDescent="0.25">
      <c r="A28" s="4" t="s">
        <v>73</v>
      </c>
      <c r="B28" s="5" t="s">
        <v>27</v>
      </c>
      <c r="C28" s="10">
        <v>43862</v>
      </c>
      <c r="D28" s="4">
        <f t="shared" si="0"/>
        <v>2020</v>
      </c>
      <c r="E28" s="29">
        <v>5479</v>
      </c>
      <c r="F28" s="15">
        <v>24.636539233616915</v>
      </c>
      <c r="G28" s="15">
        <f>($F28)*((1-(1/(1+discount_rate!$C$3))^365)/(1-(1/(1+discount_rate!$C$3))^($E28)))</f>
        <v>2.7319180522555433</v>
      </c>
    </row>
    <row r="29" spans="1:7" x14ac:dyDescent="0.25">
      <c r="A29" s="4" t="s">
        <v>74</v>
      </c>
      <c r="B29" s="5" t="s">
        <v>27</v>
      </c>
      <c r="C29" s="10">
        <v>44256</v>
      </c>
      <c r="D29" s="4">
        <f t="shared" si="0"/>
        <v>2021</v>
      </c>
      <c r="E29" s="29">
        <v>7305</v>
      </c>
      <c r="F29" s="15">
        <v>0.20947296601749996</v>
      </c>
      <c r="G29" s="15">
        <f>($F29)*((1-(1/(1+discount_rate!$C$3))^365)/(1-(1/(1+discount_rate!$C$3))^($E29)))</f>
        <v>2.038259992974022E-2</v>
      </c>
    </row>
    <row r="30" spans="1:7" x14ac:dyDescent="0.25">
      <c r="A30" s="4" t="s">
        <v>75</v>
      </c>
      <c r="B30" s="5" t="s">
        <v>78</v>
      </c>
      <c r="C30" s="10">
        <v>42795</v>
      </c>
      <c r="D30" s="4">
        <f t="shared" si="0"/>
        <v>2017</v>
      </c>
      <c r="E30" s="29">
        <v>4383</v>
      </c>
      <c r="F30" s="15">
        <v>0.90269910476459114</v>
      </c>
      <c r="G30" s="15">
        <f>($F30)*((1-(1/(1+discount_rate!$C$3))^365)/(1-(1/(1+discount_rate!$C$3))^($E30)))</f>
        <v>0.11318344123101626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B24A9-D4D1-490D-B0F1-5876801115DD}">
  <sheetPr>
    <tabColor theme="9" tint="0.79998168889431442"/>
  </sheetPr>
  <dimension ref="A1:G30"/>
  <sheetViews>
    <sheetView workbookViewId="0">
      <pane xSplit="3" ySplit="1" topLeftCell="D2" activePane="bottomRight" state="frozen"/>
      <selection activeCell="D45" sqref="D45"/>
      <selection pane="topRight" activeCell="D45" sqref="D45"/>
      <selection pane="bottomLeft" activeCell="D45" sqref="D45"/>
      <selection pane="bottomRight" activeCell="F3" sqref="F3:G3"/>
    </sheetView>
  </sheetViews>
  <sheetFormatPr defaultRowHeight="15" x14ac:dyDescent="0.25"/>
  <cols>
    <col min="1" max="1" width="20.5703125" customWidth="1"/>
    <col min="2" max="2" width="20.5703125" style="32" customWidth="1"/>
    <col min="3" max="3" width="17.5703125" customWidth="1"/>
    <col min="4" max="4" width="13.85546875" customWidth="1"/>
    <col min="5" max="5" width="17.85546875" customWidth="1"/>
    <col min="6" max="6" width="18.42578125" customWidth="1"/>
    <col min="7" max="7" width="18.7109375" customWidth="1"/>
  </cols>
  <sheetData>
    <row r="1" spans="1:7" ht="39.950000000000003" customHeight="1" x14ac:dyDescent="0.25">
      <c r="A1" s="30" t="s">
        <v>101</v>
      </c>
      <c r="B1" s="7" t="s">
        <v>76</v>
      </c>
      <c r="C1" s="7" t="s">
        <v>82</v>
      </c>
      <c r="D1" s="7" t="s">
        <v>93</v>
      </c>
      <c r="E1" s="7" t="s">
        <v>107</v>
      </c>
      <c r="F1" s="7" t="s">
        <v>108</v>
      </c>
      <c r="G1" s="7" t="s">
        <v>109</v>
      </c>
    </row>
    <row r="2" spans="1:7" x14ac:dyDescent="0.25">
      <c r="A2" s="4" t="s">
        <v>53</v>
      </c>
      <c r="B2" s="5" t="s">
        <v>27</v>
      </c>
      <c r="C2" s="10">
        <v>41395</v>
      </c>
      <c r="D2" s="4">
        <f>IF(MONTH(C2)&lt;7,YEAR(C2),YEAR(C2)+1)</f>
        <v>2013</v>
      </c>
      <c r="E2" s="15">
        <v>0.1514148510972495</v>
      </c>
      <c r="F2" s="15">
        <f>$E2/exchange_rates!K2</f>
        <v>0.1514148510972495</v>
      </c>
      <c r="G2" s="15">
        <f>$E2/exchange_rates!L2</f>
        <v>0.1514148510972495</v>
      </c>
    </row>
    <row r="3" spans="1:7" x14ac:dyDescent="0.25">
      <c r="A3" s="4" t="s">
        <v>53</v>
      </c>
      <c r="B3" s="5" t="s">
        <v>27</v>
      </c>
      <c r="C3" s="10">
        <v>42826</v>
      </c>
      <c r="D3" s="4">
        <f t="shared" ref="D3:D30" si="0">IF(MONTH(C3)&lt;7,YEAR(C3),YEAR(C3)+1)</f>
        <v>2017</v>
      </c>
      <c r="E3" s="15">
        <v>0.28573121573723842</v>
      </c>
      <c r="F3" s="15">
        <f>$E3/exchange_rates!K3</f>
        <v>0.28573121573723842</v>
      </c>
      <c r="G3" s="15">
        <f>$E3/exchange_rates!L3</f>
        <v>0.28573121573723842</v>
      </c>
    </row>
    <row r="4" spans="1:7" x14ac:dyDescent="0.25">
      <c r="A4" s="4" t="s">
        <v>53</v>
      </c>
      <c r="B4" s="5" t="s">
        <v>164</v>
      </c>
      <c r="C4" s="10">
        <v>44531</v>
      </c>
      <c r="D4" s="4">
        <f t="shared" si="0"/>
        <v>2022</v>
      </c>
      <c r="E4" s="15">
        <v>0.11735032538526094</v>
      </c>
      <c r="F4" s="15">
        <f>$E4/exchange_rates!K4</f>
        <v>0.11735032538526094</v>
      </c>
      <c r="G4" s="15">
        <f>$E4/exchange_rates!L4</f>
        <v>0.11735032538526094</v>
      </c>
    </row>
    <row r="5" spans="1:7" x14ac:dyDescent="0.25">
      <c r="A5" s="4" t="s">
        <v>54</v>
      </c>
      <c r="B5" s="5" t="s">
        <v>77</v>
      </c>
      <c r="C5" s="10">
        <v>44713</v>
      </c>
      <c r="D5" s="4">
        <f t="shared" si="0"/>
        <v>2022</v>
      </c>
      <c r="E5" s="15">
        <v>3.1399528620374921E-2</v>
      </c>
      <c r="F5" s="15">
        <f>$E5/exchange_rates!K5</f>
        <v>4.7658492094826865E-2</v>
      </c>
      <c r="G5" s="15">
        <f>$E5/exchange_rates!L5</f>
        <v>6.2022886882824313E-2</v>
      </c>
    </row>
    <row r="6" spans="1:7" x14ac:dyDescent="0.25">
      <c r="A6" s="4" t="s">
        <v>55</v>
      </c>
      <c r="B6" s="5" t="s">
        <v>78</v>
      </c>
      <c r="C6" s="10">
        <v>43556</v>
      </c>
      <c r="D6" s="4">
        <f t="shared" si="0"/>
        <v>2019</v>
      </c>
      <c r="E6" s="15">
        <v>0.13722913374964352</v>
      </c>
      <c r="F6" s="15">
        <f>$E6/exchange_rates!K6</f>
        <v>0.14878353518431364</v>
      </c>
      <c r="G6" s="15">
        <f>$E6/exchange_rates!L6</f>
        <v>0.16442942958268483</v>
      </c>
    </row>
    <row r="7" spans="1:7" x14ac:dyDescent="0.25">
      <c r="A7" s="4" t="s">
        <v>56</v>
      </c>
      <c r="B7" s="5" t="s">
        <v>27</v>
      </c>
      <c r="C7" s="10">
        <v>44409</v>
      </c>
      <c r="D7" s="4">
        <f t="shared" si="0"/>
        <v>2022</v>
      </c>
      <c r="E7" s="15">
        <v>6.2469516894639351E-2</v>
      </c>
      <c r="F7" s="15">
        <f>$E7/exchange_rates!K7</f>
        <v>9.8464350486882082E-2</v>
      </c>
      <c r="G7" s="15">
        <f>$E7/exchange_rates!L7</f>
        <v>0.21718689401097963</v>
      </c>
    </row>
    <row r="8" spans="1:7" x14ac:dyDescent="0.25">
      <c r="A8" s="4" t="s">
        <v>56</v>
      </c>
      <c r="B8" s="5" t="s">
        <v>79</v>
      </c>
      <c r="C8" s="10">
        <v>44986</v>
      </c>
      <c r="D8" s="4">
        <f t="shared" si="0"/>
        <v>2023</v>
      </c>
      <c r="E8" s="15">
        <v>2.426904606959944E-2</v>
      </c>
      <c r="F8" s="15">
        <f>$E8/exchange_rates!K8</f>
        <v>3.9489172530739941E-2</v>
      </c>
      <c r="G8" s="15">
        <f>$E8/exchange_rates!L8</f>
        <v>7.8098797149361257E-2</v>
      </c>
    </row>
    <row r="9" spans="1:7" x14ac:dyDescent="0.25">
      <c r="A9" s="4" t="s">
        <v>57</v>
      </c>
      <c r="B9" s="5" t="s">
        <v>27</v>
      </c>
      <c r="C9" s="10">
        <v>44136</v>
      </c>
      <c r="D9" s="4">
        <f t="shared" si="0"/>
        <v>2021</v>
      </c>
      <c r="E9" s="15">
        <v>0.67629335339333385</v>
      </c>
      <c r="F9" s="15">
        <f>$E9/exchange_rates!K9</f>
        <v>4.2339561509942135E-2</v>
      </c>
      <c r="G9" s="15">
        <f>$E9/exchange_rates!L9</f>
        <v>7.9659650649855168E-2</v>
      </c>
    </row>
    <row r="10" spans="1:7" x14ac:dyDescent="0.25">
      <c r="A10" s="4" t="s">
        <v>58</v>
      </c>
      <c r="B10" s="5" t="s">
        <v>27</v>
      </c>
      <c r="C10" s="10">
        <v>44866</v>
      </c>
      <c r="D10" s="4">
        <f t="shared" si="0"/>
        <v>2023</v>
      </c>
      <c r="E10" s="15">
        <v>1.3648692217488189E-2</v>
      </c>
      <c r="F10" s="15">
        <f>$E10/exchange_rates!K10</f>
        <v>2.0716110041530903E-2</v>
      </c>
      <c r="G10" s="15">
        <f>$E10/exchange_rates!L10</f>
        <v>3.3629342162251261E-2</v>
      </c>
    </row>
    <row r="11" spans="1:7" x14ac:dyDescent="0.25">
      <c r="A11" s="4" t="s">
        <v>59</v>
      </c>
      <c r="B11" s="5" t="s">
        <v>27</v>
      </c>
      <c r="C11" s="10">
        <v>44166</v>
      </c>
      <c r="D11" s="4">
        <f t="shared" si="0"/>
        <v>2021</v>
      </c>
      <c r="E11" s="15">
        <v>2.6165816396845291E-2</v>
      </c>
      <c r="F11" s="15">
        <f>$E11/exchange_rates!K11</f>
        <v>4.3357270890743108E-2</v>
      </c>
      <c r="G11" s="15">
        <f>$E11/exchange_rates!L11</f>
        <v>7.0622305836213969E-2</v>
      </c>
    </row>
    <row r="12" spans="1:7" x14ac:dyDescent="0.25">
      <c r="A12" s="4" t="s">
        <v>60</v>
      </c>
      <c r="B12" s="5" t="s">
        <v>80</v>
      </c>
      <c r="C12" s="10">
        <v>43435</v>
      </c>
      <c r="D12" s="4">
        <f t="shared" si="0"/>
        <v>2019</v>
      </c>
      <c r="E12" s="15">
        <v>0.16762719470924201</v>
      </c>
      <c r="F12" s="15">
        <f>$E12/exchange_rates!K12</f>
        <v>2.8622092680566556E-2</v>
      </c>
      <c r="G12" s="15">
        <f>$E12/exchange_rates!L12</f>
        <v>3.9453828118308401E-2</v>
      </c>
    </row>
    <row r="13" spans="1:7" x14ac:dyDescent="0.25">
      <c r="A13" s="4" t="s">
        <v>60</v>
      </c>
      <c r="B13" s="5" t="s">
        <v>27</v>
      </c>
      <c r="C13" s="10">
        <v>44470</v>
      </c>
      <c r="D13" s="4">
        <f t="shared" si="0"/>
        <v>2022</v>
      </c>
      <c r="E13" s="15">
        <v>0.79769743036921703</v>
      </c>
      <c r="F13" s="15">
        <f>$E13/exchange_rates!K13</f>
        <v>0.13661134932039992</v>
      </c>
      <c r="G13" s="15">
        <f>$E13/exchange_rates!L13</f>
        <v>0.19245172796491905</v>
      </c>
    </row>
    <row r="14" spans="1:7" x14ac:dyDescent="0.25">
      <c r="A14" s="4" t="s">
        <v>61</v>
      </c>
      <c r="B14" s="5" t="s">
        <v>80</v>
      </c>
      <c r="C14" s="10">
        <v>44197</v>
      </c>
      <c r="D14" s="4">
        <f t="shared" si="0"/>
        <v>2021</v>
      </c>
      <c r="E14" s="15">
        <v>13.990700422104103</v>
      </c>
      <c r="F14" s="15">
        <f>$E14/exchange_rates!K14</f>
        <v>6.1439297390242405E-2</v>
      </c>
      <c r="G14" s="15">
        <f>$E14/exchange_rates!L14</f>
        <v>0.13473339837993059</v>
      </c>
    </row>
    <row r="15" spans="1:7" x14ac:dyDescent="0.25">
      <c r="A15" s="4" t="s">
        <v>62</v>
      </c>
      <c r="B15" s="5" t="s">
        <v>81</v>
      </c>
      <c r="C15" s="10">
        <v>42887</v>
      </c>
      <c r="D15" s="4">
        <f t="shared" si="0"/>
        <v>2017</v>
      </c>
      <c r="E15" s="15">
        <v>0.56510054301920509</v>
      </c>
      <c r="F15" s="15">
        <f>$E15/exchange_rates!K15</f>
        <v>6.9011835573830589E-3</v>
      </c>
      <c r="G15" s="15">
        <f>$E15/exchange_rates!L15</f>
        <v>6.0383501661764169E-3</v>
      </c>
    </row>
    <row r="16" spans="1:7" x14ac:dyDescent="0.25">
      <c r="A16" s="4" t="s">
        <v>63</v>
      </c>
      <c r="B16" s="5" t="s">
        <v>27</v>
      </c>
      <c r="C16" s="10">
        <v>43374</v>
      </c>
      <c r="D16" s="4">
        <f t="shared" si="0"/>
        <v>2019</v>
      </c>
      <c r="E16" s="15">
        <v>7.0643107461853205E-2</v>
      </c>
      <c r="F16" s="15">
        <f>$E16/exchange_rates!K16</f>
        <v>0.11171366312062374</v>
      </c>
      <c r="G16" s="15">
        <f>$E16/exchange_rates!L16</f>
        <v>0.15248229591545645</v>
      </c>
    </row>
    <row r="17" spans="1:7" x14ac:dyDescent="0.25">
      <c r="A17" s="4" t="s">
        <v>64</v>
      </c>
      <c r="B17" s="5" t="s">
        <v>27</v>
      </c>
      <c r="C17" s="10">
        <v>44774</v>
      </c>
      <c r="D17" s="4">
        <f t="shared" si="0"/>
        <v>2023</v>
      </c>
      <c r="E17" s="15">
        <v>2.6018814858418313E-2</v>
      </c>
      <c r="F17" s="15">
        <f>$E17/exchange_rates!K17</f>
        <v>3.9491595470705729E-2</v>
      </c>
      <c r="G17" s="15">
        <f>$E17/exchange_rates!L17</f>
        <v>7.6448268281234716E-2</v>
      </c>
    </row>
    <row r="18" spans="1:7" x14ac:dyDescent="0.25">
      <c r="A18" s="4" t="s">
        <v>65</v>
      </c>
      <c r="B18" s="5" t="s">
        <v>27</v>
      </c>
      <c r="C18" s="10">
        <v>44044</v>
      </c>
      <c r="D18" s="4">
        <f t="shared" si="0"/>
        <v>2021</v>
      </c>
      <c r="E18" s="15">
        <v>0.12321979595972653</v>
      </c>
      <c r="F18" s="15">
        <f>$E18/exchange_rates!K18</f>
        <v>0.20417761829025433</v>
      </c>
      <c r="G18" s="15">
        <f>$E18/exchange_rates!L18</f>
        <v>0.2103980052127275</v>
      </c>
    </row>
    <row r="19" spans="1:7" x14ac:dyDescent="0.25">
      <c r="A19" s="4" t="s">
        <v>66</v>
      </c>
      <c r="B19" s="5" t="s">
        <v>80</v>
      </c>
      <c r="C19" s="10">
        <v>42856</v>
      </c>
      <c r="D19" s="4">
        <f t="shared" si="0"/>
        <v>2017</v>
      </c>
      <c r="E19" s="15">
        <v>0.4020262140204684</v>
      </c>
      <c r="F19" s="15">
        <f>$E19/exchange_rates!K19</f>
        <v>6.3414904266942934E-2</v>
      </c>
      <c r="G19" s="15">
        <f>$E19/exchange_rates!L19</f>
        <v>6.0925681637996269E-2</v>
      </c>
    </row>
    <row r="20" spans="1:7" x14ac:dyDescent="0.25">
      <c r="A20" s="4" t="s">
        <v>67</v>
      </c>
      <c r="B20" s="5" t="s">
        <v>77</v>
      </c>
      <c r="C20" s="10">
        <v>44470</v>
      </c>
      <c r="D20" s="4">
        <f t="shared" si="0"/>
        <v>2022</v>
      </c>
      <c r="E20" s="15">
        <v>2.0468711732279724E-2</v>
      </c>
      <c r="F20" s="15">
        <f>$E20/exchange_rates!K20</f>
        <v>3.2262749997272591E-2</v>
      </c>
      <c r="G20" s="15">
        <f>$E20/exchange_rates!L20</f>
        <v>5.3936219852391207E-2</v>
      </c>
    </row>
    <row r="21" spans="1:7" x14ac:dyDescent="0.25">
      <c r="A21" s="4" t="s">
        <v>68</v>
      </c>
      <c r="B21" s="5" t="s">
        <v>27</v>
      </c>
      <c r="C21" s="10">
        <v>42826</v>
      </c>
      <c r="D21" s="4">
        <f t="shared" si="0"/>
        <v>2017</v>
      </c>
      <c r="E21" s="15">
        <v>0.18572861140177019</v>
      </c>
      <c r="F21" s="15">
        <f>$E21/exchange_rates!K21</f>
        <v>0.17548448018805668</v>
      </c>
      <c r="G21" s="15">
        <f>$E21/exchange_rates!L21</f>
        <v>0.31071025333883429</v>
      </c>
    </row>
    <row r="22" spans="1:7" x14ac:dyDescent="0.25">
      <c r="A22" s="4" t="s">
        <v>68</v>
      </c>
      <c r="B22" s="5" t="s">
        <v>80</v>
      </c>
      <c r="C22" s="10">
        <v>42826</v>
      </c>
      <c r="D22" s="4">
        <f t="shared" si="0"/>
        <v>2017</v>
      </c>
      <c r="E22" s="15">
        <v>9.1843045183437957E-2</v>
      </c>
      <c r="F22" s="15">
        <f>$E22/exchange_rates!K22</f>
        <v>8.6777308683147786E-2</v>
      </c>
      <c r="G22" s="15">
        <f>$E22/exchange_rates!L22</f>
        <v>0.1536466332299517</v>
      </c>
    </row>
    <row r="23" spans="1:7" x14ac:dyDescent="0.25">
      <c r="A23" s="4" t="s">
        <v>69</v>
      </c>
      <c r="B23" s="5" t="s">
        <v>27</v>
      </c>
      <c r="C23" s="10">
        <v>44136</v>
      </c>
      <c r="D23" s="4">
        <f t="shared" si="0"/>
        <v>2021</v>
      </c>
      <c r="E23" s="15">
        <v>2.9000940214247435E-2</v>
      </c>
      <c r="F23" s="15">
        <f>$E23/exchange_rates!K23</f>
        <v>4.8055126653987049E-2</v>
      </c>
      <c r="G23" s="15">
        <f>$E23/exchange_rates!L23</f>
        <v>8.4861830337653599E-2</v>
      </c>
    </row>
    <row r="24" spans="1:7" x14ac:dyDescent="0.25">
      <c r="A24" s="4" t="s">
        <v>70</v>
      </c>
      <c r="B24" s="5" t="s">
        <v>27</v>
      </c>
      <c r="C24" s="10">
        <v>44287</v>
      </c>
      <c r="D24" s="4">
        <f t="shared" si="0"/>
        <v>2021</v>
      </c>
      <c r="E24" s="15">
        <v>2.2094087508913948E-2</v>
      </c>
      <c r="F24" s="15">
        <f>$E24/exchange_rates!K24</f>
        <v>3.4824664641391348E-2</v>
      </c>
      <c r="G24" s="15">
        <f>$E24/exchange_rates!L24</f>
        <v>5.8692535199957124E-2</v>
      </c>
    </row>
    <row r="25" spans="1:7" x14ac:dyDescent="0.25">
      <c r="A25" s="4" t="s">
        <v>71</v>
      </c>
      <c r="B25" s="5" t="s">
        <v>27</v>
      </c>
      <c r="C25" s="10">
        <v>44378</v>
      </c>
      <c r="D25" s="4">
        <f t="shared" si="0"/>
        <v>2022</v>
      </c>
      <c r="E25" s="15">
        <v>3.4592506928999053E-2</v>
      </c>
      <c r="F25" s="15">
        <f>$E25/exchange_rates!K25</f>
        <v>5.4524652915462955E-2</v>
      </c>
      <c r="G25" s="15">
        <f>$E25/exchange_rates!L25</f>
        <v>8.2926848923780494E-2</v>
      </c>
    </row>
    <row r="26" spans="1:7" x14ac:dyDescent="0.25">
      <c r="A26" s="4" t="s">
        <v>72</v>
      </c>
      <c r="B26" s="5" t="s">
        <v>27</v>
      </c>
      <c r="C26" s="10">
        <v>43435</v>
      </c>
      <c r="D26" s="4">
        <f t="shared" si="0"/>
        <v>2019</v>
      </c>
      <c r="E26" s="15">
        <v>0.65111529316043071</v>
      </c>
      <c r="F26" s="15">
        <f>$E26/exchange_rates!K26</f>
        <v>0.10025410171099872</v>
      </c>
      <c r="G26" s="15">
        <f>$E26/exchange_rates!L26</f>
        <v>0.10798722432761919</v>
      </c>
    </row>
    <row r="27" spans="1:7" x14ac:dyDescent="0.25">
      <c r="A27" s="4" t="s">
        <v>72</v>
      </c>
      <c r="B27" s="5" t="s">
        <v>80</v>
      </c>
      <c r="C27" s="10">
        <v>45170</v>
      </c>
      <c r="D27" s="4">
        <f t="shared" si="0"/>
        <v>2024</v>
      </c>
      <c r="E27" s="15">
        <v>0.28833518276351949</v>
      </c>
      <c r="F27" s="15">
        <f>$E27/exchange_rates!K27</f>
        <v>4.0904141686915953E-2</v>
      </c>
      <c r="G27" s="15">
        <f>$E27/exchange_rates!L27</f>
        <v>4.7138077368399207E-2</v>
      </c>
    </row>
    <row r="28" spans="1:7" x14ac:dyDescent="0.25">
      <c r="A28" s="4" t="s">
        <v>73</v>
      </c>
      <c r="B28" s="5" t="s">
        <v>27</v>
      </c>
      <c r="C28" s="10">
        <v>43862</v>
      </c>
      <c r="D28" s="4">
        <f t="shared" si="0"/>
        <v>2020</v>
      </c>
      <c r="E28" s="15">
        <v>2.7319180522555433</v>
      </c>
      <c r="F28" s="15">
        <f>$E28/exchange_rates!K28</f>
        <v>0.12685341984567239</v>
      </c>
      <c r="G28" s="15">
        <f>$E28/exchange_rates!L28</f>
        <v>0.342747334718629</v>
      </c>
    </row>
    <row r="29" spans="1:7" x14ac:dyDescent="0.25">
      <c r="A29" s="4" t="s">
        <v>74</v>
      </c>
      <c r="B29" s="5" t="s">
        <v>27</v>
      </c>
      <c r="C29" s="10">
        <v>44256</v>
      </c>
      <c r="D29" s="4">
        <f t="shared" si="0"/>
        <v>2021</v>
      </c>
      <c r="E29" s="15">
        <v>2.038259992974022E-2</v>
      </c>
      <c r="F29" s="15">
        <f>$E29/exchange_rates!K29</f>
        <v>3.731965307614734E-2</v>
      </c>
      <c r="G29" s="15">
        <f>$E29/exchange_rates!L29</f>
        <v>4.4775720141331563E-2</v>
      </c>
    </row>
    <row r="30" spans="1:7" x14ac:dyDescent="0.25">
      <c r="A30" s="4" t="s">
        <v>75</v>
      </c>
      <c r="B30" s="5" t="s">
        <v>78</v>
      </c>
      <c r="C30" s="10">
        <v>42795</v>
      </c>
      <c r="D30" s="4">
        <f t="shared" si="0"/>
        <v>2017</v>
      </c>
      <c r="E30" s="15">
        <v>0.11318344123101626</v>
      </c>
      <c r="F30" s="15">
        <f>$E30/exchange_rates!K30</f>
        <v>0.14767700909667011</v>
      </c>
      <c r="G30" s="15">
        <f>$E30/exchange_rates!L30</f>
        <v>0.16723453314121176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E207C-EDD1-4F3C-8C8E-83F6BC3AF3B6}">
  <sheetPr>
    <tabColor theme="9" tint="0.79998168889431442"/>
  </sheetPr>
  <dimension ref="A1:I30"/>
  <sheetViews>
    <sheetView workbookViewId="0">
      <pane xSplit="3" ySplit="1" topLeftCell="D2" activePane="bottomRight" state="frozen"/>
      <selection activeCell="D45" sqref="D45"/>
      <selection pane="topRight" activeCell="D45" sqref="D45"/>
      <selection pane="bottomLeft" activeCell="D45" sqref="D45"/>
      <selection pane="bottomRight" activeCell="H3" sqref="H3"/>
    </sheetView>
  </sheetViews>
  <sheetFormatPr defaultRowHeight="15" x14ac:dyDescent="0.25"/>
  <cols>
    <col min="1" max="1" width="20.5703125" customWidth="1"/>
    <col min="2" max="2" width="20.5703125" style="32" customWidth="1"/>
    <col min="3" max="3" width="17.5703125" customWidth="1"/>
    <col min="4" max="4" width="13.85546875" customWidth="1"/>
    <col min="5" max="5" width="17.140625" customWidth="1"/>
    <col min="6" max="9" width="23" customWidth="1"/>
  </cols>
  <sheetData>
    <row r="1" spans="1:9" ht="39.950000000000003" customHeight="1" x14ac:dyDescent="0.25">
      <c r="A1" s="30" t="s">
        <v>101</v>
      </c>
      <c r="B1" s="7" t="s">
        <v>76</v>
      </c>
      <c r="C1" s="7" t="s">
        <v>102</v>
      </c>
      <c r="D1" s="7" t="s">
        <v>93</v>
      </c>
      <c r="E1" s="7" t="s">
        <v>110</v>
      </c>
      <c r="F1" s="7" t="s">
        <v>108</v>
      </c>
      <c r="G1" s="7" t="s">
        <v>109</v>
      </c>
      <c r="H1" s="7" t="s">
        <v>111</v>
      </c>
      <c r="I1" s="7" t="s">
        <v>112</v>
      </c>
    </row>
    <row r="2" spans="1:9" x14ac:dyDescent="0.25">
      <c r="A2" s="4" t="s">
        <v>53</v>
      </c>
      <c r="B2" s="5" t="s">
        <v>27</v>
      </c>
      <c r="C2" s="18">
        <v>41395</v>
      </c>
      <c r="D2" s="4">
        <f>IF(MONTH(C2)&lt;7,YEAR(C2),YEAR(C2)+1)</f>
        <v>2013</v>
      </c>
      <c r="E2" s="15">
        <v>2.1942719407260389</v>
      </c>
      <c r="F2" s="15">
        <v>0.1514148510972495</v>
      </c>
      <c r="G2" s="15">
        <v>0.1514148510972495</v>
      </c>
      <c r="H2" s="15">
        <f>F2/$E2</f>
        <v>6.9004597054250938E-2</v>
      </c>
      <c r="I2" s="15">
        <f>G2/$E2</f>
        <v>6.9004597054250938E-2</v>
      </c>
    </row>
    <row r="3" spans="1:9" x14ac:dyDescent="0.25">
      <c r="A3" s="4" t="s">
        <v>53</v>
      </c>
      <c r="B3" s="5" t="s">
        <v>27</v>
      </c>
      <c r="C3" s="18">
        <v>42826</v>
      </c>
      <c r="D3" s="4">
        <f t="shared" ref="D3:D30" si="0">IF(MONTH(C3)&lt;7,YEAR(C3),YEAR(C3)+1)</f>
        <v>2017</v>
      </c>
      <c r="E3" s="15">
        <v>1.4945453451528885</v>
      </c>
      <c r="F3" s="15">
        <v>0.28573121573723842</v>
      </c>
      <c r="G3" s="15">
        <v>0.28573121573723842</v>
      </c>
      <c r="H3" s="15">
        <f t="shared" ref="H3:H30" si="1">F3/$E3</f>
        <v>0.19118270092233888</v>
      </c>
      <c r="I3" s="15">
        <f t="shared" ref="I3:I30" si="2">G3/$E3</f>
        <v>0.19118270092233888</v>
      </c>
    </row>
    <row r="4" spans="1:9" x14ac:dyDescent="0.25">
      <c r="A4" s="4" t="s">
        <v>53</v>
      </c>
      <c r="B4" s="5" t="s">
        <v>164</v>
      </c>
      <c r="C4" s="18">
        <v>44531</v>
      </c>
      <c r="D4" s="4">
        <f t="shared" si="0"/>
        <v>2022</v>
      </c>
      <c r="E4" s="15">
        <v>0.98735770414989998</v>
      </c>
      <c r="F4" s="15">
        <v>0.11735032538526094</v>
      </c>
      <c r="G4" s="15">
        <v>0.11735032538526094</v>
      </c>
      <c r="H4" s="15">
        <f t="shared" si="1"/>
        <v>0.11885289889574295</v>
      </c>
      <c r="I4" s="15">
        <f t="shared" si="2"/>
        <v>0.11885289889574295</v>
      </c>
    </row>
    <row r="5" spans="1:9" x14ac:dyDescent="0.25">
      <c r="A5" s="4" t="s">
        <v>54</v>
      </c>
      <c r="B5" s="5" t="s">
        <v>77</v>
      </c>
      <c r="C5" s="18">
        <v>44713</v>
      </c>
      <c r="D5" s="4">
        <f t="shared" si="0"/>
        <v>2022</v>
      </c>
      <c r="E5" s="15">
        <v>0.98735770414989998</v>
      </c>
      <c r="F5" s="15">
        <v>4.7658492094826865E-2</v>
      </c>
      <c r="G5" s="15">
        <v>6.2022886882824313E-2</v>
      </c>
      <c r="H5" s="15">
        <f t="shared" si="1"/>
        <v>4.8268719527397724E-2</v>
      </c>
      <c r="I5" s="15">
        <f t="shared" si="2"/>
        <v>6.2817038467558303E-2</v>
      </c>
    </row>
    <row r="6" spans="1:9" x14ac:dyDescent="0.25">
      <c r="A6" s="4" t="s">
        <v>55</v>
      </c>
      <c r="B6" s="5" t="s">
        <v>78</v>
      </c>
      <c r="C6" s="18">
        <v>43556</v>
      </c>
      <c r="D6" s="4">
        <f t="shared" si="0"/>
        <v>2019</v>
      </c>
      <c r="E6" s="15">
        <v>1.3030077488346661</v>
      </c>
      <c r="F6" s="15">
        <v>0.14878353518431364</v>
      </c>
      <c r="G6" s="15">
        <v>0.16442942958268483</v>
      </c>
      <c r="H6" s="15">
        <f t="shared" si="1"/>
        <v>0.11418468947508327</v>
      </c>
      <c r="I6" s="15">
        <f t="shared" si="2"/>
        <v>0.12619221161941738</v>
      </c>
    </row>
    <row r="7" spans="1:9" x14ac:dyDescent="0.25">
      <c r="A7" s="4" t="s">
        <v>56</v>
      </c>
      <c r="B7" s="5" t="s">
        <v>27</v>
      </c>
      <c r="C7" s="18">
        <v>44409</v>
      </c>
      <c r="D7" s="4">
        <f t="shared" si="0"/>
        <v>2022</v>
      </c>
      <c r="E7" s="15">
        <v>0.98735770414989998</v>
      </c>
      <c r="F7" s="15">
        <v>9.8464350486882082E-2</v>
      </c>
      <c r="G7" s="15">
        <v>0.21718689401097963</v>
      </c>
      <c r="H7" s="15">
        <f t="shared" si="1"/>
        <v>9.9725104765003472E-2</v>
      </c>
      <c r="I7" s="15">
        <f t="shared" si="2"/>
        <v>0.21996779191384772</v>
      </c>
    </row>
    <row r="8" spans="1:9" x14ac:dyDescent="0.25">
      <c r="A8" s="4" t="s">
        <v>56</v>
      </c>
      <c r="B8" s="5" t="s">
        <v>79</v>
      </c>
      <c r="C8" s="18">
        <v>44986</v>
      </c>
      <c r="D8" s="4">
        <f t="shared" si="0"/>
        <v>2023</v>
      </c>
      <c r="E8" s="15">
        <v>1.0040762671122119</v>
      </c>
      <c r="F8" s="15">
        <v>3.9489172530739941E-2</v>
      </c>
      <c r="G8" s="15">
        <v>7.8098797149361257E-2</v>
      </c>
      <c r="H8" s="15">
        <f t="shared" si="1"/>
        <v>3.9328857601936301E-2</v>
      </c>
      <c r="I8" s="15">
        <f t="shared" si="2"/>
        <v>7.7781738008785364E-2</v>
      </c>
    </row>
    <row r="9" spans="1:9" x14ac:dyDescent="0.25">
      <c r="A9" s="4" t="s">
        <v>57</v>
      </c>
      <c r="B9" s="5" t="s">
        <v>27</v>
      </c>
      <c r="C9" s="18">
        <v>44136</v>
      </c>
      <c r="D9" s="4">
        <f t="shared" si="0"/>
        <v>2021</v>
      </c>
      <c r="E9" s="15">
        <v>1.0643594534579426</v>
      </c>
      <c r="F9" s="15">
        <v>4.2339561509942135E-2</v>
      </c>
      <c r="G9" s="15">
        <v>7.9659650649855168E-2</v>
      </c>
      <c r="H9" s="15">
        <f t="shared" si="1"/>
        <v>3.9779382211890271E-2</v>
      </c>
      <c r="I9" s="15">
        <f t="shared" si="2"/>
        <v>7.4842808405612443E-2</v>
      </c>
    </row>
    <row r="10" spans="1:9" x14ac:dyDescent="0.25">
      <c r="A10" s="4" t="s">
        <v>58</v>
      </c>
      <c r="B10" s="5" t="s">
        <v>27</v>
      </c>
      <c r="C10" s="18">
        <v>44866</v>
      </c>
      <c r="D10" s="4">
        <f t="shared" si="0"/>
        <v>2023</v>
      </c>
      <c r="E10" s="15">
        <v>1.0040762671122119</v>
      </c>
      <c r="F10" s="15">
        <v>2.0716110041530903E-2</v>
      </c>
      <c r="G10" s="15">
        <v>3.3629342162251261E-2</v>
      </c>
      <c r="H10" s="15">
        <f t="shared" si="1"/>
        <v>2.0632008463970345E-2</v>
      </c>
      <c r="I10" s="15">
        <f t="shared" si="2"/>
        <v>3.3492816495873781E-2</v>
      </c>
    </row>
    <row r="11" spans="1:9" x14ac:dyDescent="0.25">
      <c r="A11" s="4" t="s">
        <v>59</v>
      </c>
      <c r="B11" s="5" t="s">
        <v>27</v>
      </c>
      <c r="C11" s="18">
        <v>44166</v>
      </c>
      <c r="D11" s="4">
        <f t="shared" si="0"/>
        <v>2021</v>
      </c>
      <c r="E11" s="15">
        <v>1.0643594534579426</v>
      </c>
      <c r="F11" s="15">
        <v>4.3357270890743108E-2</v>
      </c>
      <c r="G11" s="15">
        <v>7.0622305836213969E-2</v>
      </c>
      <c r="H11" s="15">
        <f t="shared" si="1"/>
        <v>4.0735552965571832E-2</v>
      </c>
      <c r="I11" s="15">
        <f t="shared" si="2"/>
        <v>6.6351931771520226E-2</v>
      </c>
    </row>
    <row r="12" spans="1:9" x14ac:dyDescent="0.25">
      <c r="A12" s="4" t="s">
        <v>60</v>
      </c>
      <c r="B12" s="5" t="s">
        <v>80</v>
      </c>
      <c r="C12" s="18">
        <v>43435</v>
      </c>
      <c r="D12" s="4">
        <f t="shared" si="0"/>
        <v>2019</v>
      </c>
      <c r="E12" s="15">
        <v>1.3030077488346661</v>
      </c>
      <c r="F12" s="15">
        <v>2.8622092680566556E-2</v>
      </c>
      <c r="G12" s="15">
        <v>3.9453828118308401E-2</v>
      </c>
      <c r="H12" s="15">
        <f t="shared" si="1"/>
        <v>2.1966172270398609E-2</v>
      </c>
      <c r="I12" s="15">
        <f t="shared" si="2"/>
        <v>3.0279043354572217E-2</v>
      </c>
    </row>
    <row r="13" spans="1:9" x14ac:dyDescent="0.25">
      <c r="A13" s="4" t="s">
        <v>60</v>
      </c>
      <c r="B13" s="5" t="s">
        <v>27</v>
      </c>
      <c r="C13" s="18">
        <v>44470</v>
      </c>
      <c r="D13" s="4">
        <f t="shared" si="0"/>
        <v>2022</v>
      </c>
      <c r="E13" s="15">
        <v>0.98735770414989998</v>
      </c>
      <c r="F13" s="15">
        <v>0.13661134932039992</v>
      </c>
      <c r="G13" s="15">
        <v>0.19245172796491905</v>
      </c>
      <c r="H13" s="15">
        <f t="shared" si="1"/>
        <v>0.13836054425485059</v>
      </c>
      <c r="I13" s="15">
        <f t="shared" si="2"/>
        <v>0.19491591259787361</v>
      </c>
    </row>
    <row r="14" spans="1:9" x14ac:dyDescent="0.25">
      <c r="A14" s="4" t="s">
        <v>61</v>
      </c>
      <c r="B14" s="5" t="s">
        <v>80</v>
      </c>
      <c r="C14" s="18">
        <v>44197</v>
      </c>
      <c r="D14" s="4">
        <f t="shared" si="0"/>
        <v>2021</v>
      </c>
      <c r="E14" s="15">
        <v>1.0643594534579426</v>
      </c>
      <c r="F14" s="15">
        <v>6.1439297390242405E-2</v>
      </c>
      <c r="G14" s="15">
        <v>0.13473339837993059</v>
      </c>
      <c r="H14" s="15">
        <f t="shared" si="1"/>
        <v>5.7724199461596772E-2</v>
      </c>
      <c r="I14" s="15">
        <f t="shared" si="2"/>
        <v>0.12658636886458066</v>
      </c>
    </row>
    <row r="15" spans="1:9" x14ac:dyDescent="0.25">
      <c r="A15" s="4" t="s">
        <v>62</v>
      </c>
      <c r="B15" s="5" t="s">
        <v>81</v>
      </c>
      <c r="C15" s="18">
        <v>42887</v>
      </c>
      <c r="D15" s="4">
        <f t="shared" si="0"/>
        <v>2017</v>
      </c>
      <c r="E15" s="15">
        <v>1.4945453451528885</v>
      </c>
      <c r="F15" s="15">
        <v>6.9011835573830589E-3</v>
      </c>
      <c r="G15" s="15">
        <v>6.0383501661764169E-3</v>
      </c>
      <c r="H15" s="15">
        <f t="shared" si="1"/>
        <v>4.6175805771066008E-3</v>
      </c>
      <c r="I15" s="15">
        <f t="shared" si="2"/>
        <v>4.0402589227285755E-3</v>
      </c>
    </row>
    <row r="16" spans="1:9" x14ac:dyDescent="0.25">
      <c r="A16" s="4" t="s">
        <v>63</v>
      </c>
      <c r="B16" s="5" t="s">
        <v>27</v>
      </c>
      <c r="C16" s="18">
        <v>43374</v>
      </c>
      <c r="D16" s="4">
        <f t="shared" si="0"/>
        <v>2019</v>
      </c>
      <c r="E16" s="15">
        <v>1.3030077488346661</v>
      </c>
      <c r="F16" s="15">
        <v>0.11171366312062374</v>
      </c>
      <c r="G16" s="15">
        <v>0.15248229591545645</v>
      </c>
      <c r="H16" s="15">
        <f t="shared" si="1"/>
        <v>8.5735225458585265E-2</v>
      </c>
      <c r="I16" s="15">
        <f t="shared" si="2"/>
        <v>0.11702332242600069</v>
      </c>
    </row>
    <row r="17" spans="1:9" x14ac:dyDescent="0.25">
      <c r="A17" s="4" t="s">
        <v>64</v>
      </c>
      <c r="B17" s="5" t="s">
        <v>27</v>
      </c>
      <c r="C17" s="18">
        <v>44774</v>
      </c>
      <c r="D17" s="4">
        <f t="shared" si="0"/>
        <v>2023</v>
      </c>
      <c r="E17" s="15">
        <v>1.0040762671122119</v>
      </c>
      <c r="F17" s="15">
        <v>3.9491595470705729E-2</v>
      </c>
      <c r="G17" s="15">
        <v>7.6448268281234716E-2</v>
      </c>
      <c r="H17" s="15">
        <f t="shared" si="1"/>
        <v>3.9331270705447612E-2</v>
      </c>
      <c r="I17" s="15">
        <f t="shared" si="2"/>
        <v>7.6137909823428926E-2</v>
      </c>
    </row>
    <row r="18" spans="1:9" x14ac:dyDescent="0.25">
      <c r="A18" s="4" t="s">
        <v>65</v>
      </c>
      <c r="B18" s="5" t="s">
        <v>27</v>
      </c>
      <c r="C18" s="18">
        <v>44044</v>
      </c>
      <c r="D18" s="4">
        <f t="shared" si="0"/>
        <v>2021</v>
      </c>
      <c r="E18" s="15">
        <v>1.0643594534579426</v>
      </c>
      <c r="F18" s="15">
        <v>0.20417761829025433</v>
      </c>
      <c r="G18" s="15">
        <v>0.2103980052127275</v>
      </c>
      <c r="H18" s="15">
        <f t="shared" si="1"/>
        <v>0.19183145095100362</v>
      </c>
      <c r="I18" s="15">
        <f t="shared" si="2"/>
        <v>0.19767570488445071</v>
      </c>
    </row>
    <row r="19" spans="1:9" x14ac:dyDescent="0.25">
      <c r="A19" s="4" t="s">
        <v>66</v>
      </c>
      <c r="B19" s="5" t="s">
        <v>80</v>
      </c>
      <c r="C19" s="18">
        <v>42856</v>
      </c>
      <c r="D19" s="4">
        <f t="shared" si="0"/>
        <v>2017</v>
      </c>
      <c r="E19" s="15">
        <v>1.4945453451528885</v>
      </c>
      <c r="F19" s="15">
        <v>6.3414904266942934E-2</v>
      </c>
      <c r="G19" s="15">
        <v>6.0925681637996269E-2</v>
      </c>
      <c r="H19" s="15">
        <f t="shared" si="1"/>
        <v>4.2430900121304606E-2</v>
      </c>
      <c r="I19" s="15">
        <f t="shared" si="2"/>
        <v>4.0765361744018354E-2</v>
      </c>
    </row>
    <row r="20" spans="1:9" x14ac:dyDescent="0.25">
      <c r="A20" s="4" t="s">
        <v>67</v>
      </c>
      <c r="B20" s="5" t="s">
        <v>77</v>
      </c>
      <c r="C20" s="18">
        <v>44470</v>
      </c>
      <c r="D20" s="4">
        <f t="shared" si="0"/>
        <v>2022</v>
      </c>
      <c r="E20" s="15">
        <v>0.98735770414989998</v>
      </c>
      <c r="F20" s="15">
        <v>3.2262749997272591E-2</v>
      </c>
      <c r="G20" s="15">
        <v>5.3936219852391207E-2</v>
      </c>
      <c r="H20" s="15">
        <f t="shared" si="1"/>
        <v>3.2675847731446356E-2</v>
      </c>
      <c r="I20" s="15">
        <f t="shared" si="2"/>
        <v>5.4626828378099783E-2</v>
      </c>
    </row>
    <row r="21" spans="1:9" x14ac:dyDescent="0.25">
      <c r="A21" s="4" t="s">
        <v>68</v>
      </c>
      <c r="B21" s="5" t="s">
        <v>27</v>
      </c>
      <c r="C21" s="18">
        <v>42826</v>
      </c>
      <c r="D21" s="4">
        <f t="shared" si="0"/>
        <v>2017</v>
      </c>
      <c r="E21" s="15">
        <v>1.4945453451528885</v>
      </c>
      <c r="F21" s="15">
        <v>0.17548448018805668</v>
      </c>
      <c r="G21" s="15">
        <v>0.31071025333883429</v>
      </c>
      <c r="H21" s="15">
        <f t="shared" si="1"/>
        <v>0.11741663159113117</v>
      </c>
      <c r="I21" s="15">
        <f t="shared" si="2"/>
        <v>0.20789617012727662</v>
      </c>
    </row>
    <row r="22" spans="1:9" x14ac:dyDescent="0.25">
      <c r="A22" s="4" t="s">
        <v>68</v>
      </c>
      <c r="B22" s="5" t="s">
        <v>80</v>
      </c>
      <c r="C22" s="18">
        <v>42826</v>
      </c>
      <c r="D22" s="4">
        <f t="shared" si="0"/>
        <v>2017</v>
      </c>
      <c r="E22" s="15">
        <v>1.4945453451528885</v>
      </c>
      <c r="F22" s="15">
        <v>8.6777308683147786E-2</v>
      </c>
      <c r="G22" s="15">
        <v>0.1536466332299517</v>
      </c>
      <c r="H22" s="15">
        <f t="shared" si="1"/>
        <v>5.8062680376064914E-2</v>
      </c>
      <c r="I22" s="15">
        <f t="shared" si="2"/>
        <v>0.10280493243531129</v>
      </c>
    </row>
    <row r="23" spans="1:9" x14ac:dyDescent="0.25">
      <c r="A23" s="4" t="s">
        <v>69</v>
      </c>
      <c r="B23" s="5" t="s">
        <v>27</v>
      </c>
      <c r="C23" s="18">
        <v>44136</v>
      </c>
      <c r="D23" s="4">
        <f t="shared" si="0"/>
        <v>2021</v>
      </c>
      <c r="E23" s="15">
        <v>1.0643594534579426</v>
      </c>
      <c r="F23" s="15">
        <v>4.8055126653987049E-2</v>
      </c>
      <c r="G23" s="15">
        <v>8.4861830337653599E-2</v>
      </c>
      <c r="H23" s="15">
        <f t="shared" si="1"/>
        <v>4.5149339819234212E-2</v>
      </c>
      <c r="I23" s="15">
        <f t="shared" si="2"/>
        <v>7.9730423835622802E-2</v>
      </c>
    </row>
    <row r="24" spans="1:9" x14ac:dyDescent="0.25">
      <c r="A24" s="4" t="s">
        <v>70</v>
      </c>
      <c r="B24" s="5" t="s">
        <v>27</v>
      </c>
      <c r="C24" s="18">
        <v>44287</v>
      </c>
      <c r="D24" s="4">
        <f t="shared" si="0"/>
        <v>2021</v>
      </c>
      <c r="E24" s="15">
        <v>1.0643594534579426</v>
      </c>
      <c r="F24" s="15">
        <v>3.4824664641391348E-2</v>
      </c>
      <c r="G24" s="15">
        <v>5.8692535199957124E-2</v>
      </c>
      <c r="H24" s="15">
        <f t="shared" si="1"/>
        <v>3.271889447521821E-2</v>
      </c>
      <c r="I24" s="15">
        <f t="shared" si="2"/>
        <v>5.5143527883624248E-2</v>
      </c>
    </row>
    <row r="25" spans="1:9" x14ac:dyDescent="0.25">
      <c r="A25" s="4" t="s">
        <v>71</v>
      </c>
      <c r="B25" s="5" t="s">
        <v>27</v>
      </c>
      <c r="C25" s="18">
        <v>44378</v>
      </c>
      <c r="D25" s="4">
        <f t="shared" si="0"/>
        <v>2022</v>
      </c>
      <c r="E25" s="15">
        <v>0.98735770414989998</v>
      </c>
      <c r="F25" s="15">
        <v>5.4524652915462955E-2</v>
      </c>
      <c r="G25" s="15">
        <v>8.2926848923780494E-2</v>
      </c>
      <c r="H25" s="15">
        <f t="shared" si="1"/>
        <v>5.5222795838118115E-2</v>
      </c>
      <c r="I25" s="15">
        <f t="shared" si="2"/>
        <v>8.3988658391215221E-2</v>
      </c>
    </row>
    <row r="26" spans="1:9" x14ac:dyDescent="0.25">
      <c r="A26" s="4" t="s">
        <v>72</v>
      </c>
      <c r="B26" s="5" t="s">
        <v>27</v>
      </c>
      <c r="C26" s="18">
        <v>43435</v>
      </c>
      <c r="D26" s="4">
        <f t="shared" si="0"/>
        <v>2019</v>
      </c>
      <c r="E26" s="15">
        <v>1.3030077488346661</v>
      </c>
      <c r="F26" s="15">
        <v>0.10025410171099872</v>
      </c>
      <c r="G26" s="15">
        <v>0.10798722432761919</v>
      </c>
      <c r="H26" s="15">
        <f t="shared" si="1"/>
        <v>7.6940526102519433E-2</v>
      </c>
      <c r="I26" s="15">
        <f t="shared" si="2"/>
        <v>8.2875350836705802E-2</v>
      </c>
    </row>
    <row r="27" spans="1:9" x14ac:dyDescent="0.25">
      <c r="A27" s="4" t="s">
        <v>72</v>
      </c>
      <c r="B27" s="5" t="s">
        <v>80</v>
      </c>
      <c r="C27" s="18">
        <v>45170</v>
      </c>
      <c r="D27" s="4">
        <f t="shared" si="0"/>
        <v>2024</v>
      </c>
      <c r="E27" s="15">
        <v>1.0069637517181789</v>
      </c>
      <c r="F27" s="15">
        <v>4.0904141686915953E-2</v>
      </c>
      <c r="G27" s="15">
        <v>4.7138077368399207E-2</v>
      </c>
      <c r="H27" s="15">
        <f t="shared" si="1"/>
        <v>4.0621265281020648E-2</v>
      </c>
      <c r="I27" s="15">
        <f t="shared" si="2"/>
        <v>4.6812089599022472E-2</v>
      </c>
    </row>
    <row r="28" spans="1:9" x14ac:dyDescent="0.25">
      <c r="A28" s="4" t="s">
        <v>73</v>
      </c>
      <c r="B28" s="5" t="s">
        <v>27</v>
      </c>
      <c r="C28" s="18">
        <v>43862</v>
      </c>
      <c r="D28" s="4">
        <f t="shared" si="0"/>
        <v>2020</v>
      </c>
      <c r="E28" s="15">
        <v>1.1693239238142432</v>
      </c>
      <c r="F28" s="15">
        <v>0.12685341984567239</v>
      </c>
      <c r="G28" s="15">
        <v>0.342747334718629</v>
      </c>
      <c r="H28" s="15">
        <f t="shared" si="1"/>
        <v>0.10848441331114346</v>
      </c>
      <c r="I28" s="15">
        <f t="shared" si="2"/>
        <v>0.2931158148211096</v>
      </c>
    </row>
    <row r="29" spans="1:9" x14ac:dyDescent="0.25">
      <c r="A29" s="4" t="s">
        <v>74</v>
      </c>
      <c r="B29" s="5" t="s">
        <v>27</v>
      </c>
      <c r="C29" s="18">
        <v>44256</v>
      </c>
      <c r="D29" s="4">
        <f t="shared" si="0"/>
        <v>2021</v>
      </c>
      <c r="E29" s="15">
        <v>1.0643594534579426</v>
      </c>
      <c r="F29" s="15">
        <v>3.731965307614734E-2</v>
      </c>
      <c r="G29" s="15">
        <v>4.4775720141331563E-2</v>
      </c>
      <c r="H29" s="15">
        <f t="shared" si="1"/>
        <v>3.5063016497764402E-2</v>
      </c>
      <c r="I29" s="15">
        <f t="shared" si="2"/>
        <v>4.206823173868756E-2</v>
      </c>
    </row>
    <row r="30" spans="1:9" x14ac:dyDescent="0.25">
      <c r="A30" s="4" t="s">
        <v>75</v>
      </c>
      <c r="B30" s="5" t="s">
        <v>78</v>
      </c>
      <c r="C30" s="18">
        <v>42795</v>
      </c>
      <c r="D30" s="4">
        <f t="shared" si="0"/>
        <v>2017</v>
      </c>
      <c r="E30" s="15">
        <v>1.4945453451528885</v>
      </c>
      <c r="F30" s="15">
        <v>0.14767700909667011</v>
      </c>
      <c r="G30" s="15">
        <v>0.16723453314121176</v>
      </c>
      <c r="H30" s="15">
        <f t="shared" si="1"/>
        <v>9.8810658087836803E-2</v>
      </c>
      <c r="I30" s="15">
        <f t="shared" si="2"/>
        <v>0.11189659362533698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4CD191-A1A1-4E11-AEA9-DB581DAC0478}">
  <sheetPr>
    <tabColor theme="9" tint="0.79998168889431442"/>
  </sheetPr>
  <dimension ref="A1:M38"/>
  <sheetViews>
    <sheetView workbookViewId="0">
      <pane xSplit="3" ySplit="1" topLeftCell="D2" activePane="bottomRight" state="frozen"/>
      <selection activeCell="D45" sqref="D45"/>
      <selection pane="topRight" activeCell="D45" sqref="D45"/>
      <selection pane="bottomLeft" activeCell="D45" sqref="D45"/>
      <selection pane="bottomRight" activeCell="J3" sqref="J3"/>
    </sheetView>
  </sheetViews>
  <sheetFormatPr defaultColWidth="8.7109375" defaultRowHeight="15" x14ac:dyDescent="0.25"/>
  <cols>
    <col min="1" max="1" width="20.5703125" style="4" customWidth="1"/>
    <col min="2" max="2" width="20.5703125" style="5" customWidth="1"/>
    <col min="3" max="3" width="17.5703125" style="4" customWidth="1"/>
    <col min="4" max="4" width="15.85546875" style="59" customWidth="1"/>
    <col min="5" max="5" width="13.42578125" style="59" customWidth="1"/>
    <col min="6" max="6" width="17" style="59" customWidth="1"/>
    <col min="7" max="7" width="15.5703125" style="59" customWidth="1"/>
    <col min="8" max="8" width="13.5703125" style="59" customWidth="1"/>
    <col min="9" max="9" width="11.42578125" style="59" customWidth="1"/>
    <col min="10" max="10" width="14.5703125" style="59" customWidth="1"/>
    <col min="11" max="16384" width="8.7109375" style="4"/>
  </cols>
  <sheetData>
    <row r="1" spans="1:13" ht="39.950000000000003" customHeight="1" x14ac:dyDescent="0.25">
      <c r="A1" s="12" t="s">
        <v>101</v>
      </c>
      <c r="B1" s="7" t="s">
        <v>76</v>
      </c>
      <c r="C1" s="14" t="s">
        <v>82</v>
      </c>
      <c r="D1" s="60" t="s">
        <v>113</v>
      </c>
      <c r="E1" s="60" t="s">
        <v>114</v>
      </c>
      <c r="F1" s="60" t="s">
        <v>115</v>
      </c>
      <c r="G1" s="60" t="s">
        <v>116</v>
      </c>
      <c r="H1" s="60" t="s">
        <v>117</v>
      </c>
      <c r="I1" s="60" t="s">
        <v>118</v>
      </c>
      <c r="J1" s="60" t="s">
        <v>119</v>
      </c>
    </row>
    <row r="2" spans="1:13" x14ac:dyDescent="0.25">
      <c r="A2" s="4" t="s">
        <v>53</v>
      </c>
      <c r="B2" s="5" t="s">
        <v>27</v>
      </c>
      <c r="C2" s="10">
        <v>41395</v>
      </c>
      <c r="D2" s="62">
        <v>55728.017403571932</v>
      </c>
      <c r="E2" s="59">
        <v>3</v>
      </c>
      <c r="F2" s="61">
        <v>3.0105735261575308</v>
      </c>
      <c r="G2" s="61" cm="1">
        <f t="array" ref="G2">MIN(D2,_xlfn.XLOOKUP(YEAR($C2)&amp;"Real GDP per capita (US$)",aus_data!$A:$A&amp;aus_data!$B:$B,aus_data!$D:$D))/MAX(D2,_xlfn.XLOOKUP(YEAR($C2)&amp;"Real GDP per capita (US$)",aus_data!$A:$A&amp;aus_data!$B:$B,aus_data!$D:$D))</f>
        <v>1</v>
      </c>
      <c r="H2" s="61" cm="1">
        <f t="array" ref="H2">MIN(E2,_xlfn.XLOOKUP(YEAR($C2)&amp;"# of MNOs",aus_data!$A:$A&amp;aus_data!$B:$B,aus_data!$D:$D))/MAX(E2,_xlfn.XLOOKUP(YEAR($C2)&amp;"# of MNOs",aus_data!$A:$A&amp;aus_data!$B:$B,aus_data!$D:$D))</f>
        <v>1</v>
      </c>
      <c r="I2" s="61" cm="1">
        <f t="array" ref="I2">MIN(F2,_xlfn.XLOOKUP(YEAR($C2)&amp;"Population density",aus_data!$A:$A&amp;aus_data!$B:$B,aus_data!$D:$D))/MAX(F2,_xlfn.XLOOKUP(YEAR($C2)&amp;"Population density",aus_data!$A:$A&amp;aus_data!$B:$B,aus_data!$D:$D))</f>
        <v>1</v>
      </c>
      <c r="J2" s="61">
        <f>AVERAGE($G2:$I2)</f>
        <v>1</v>
      </c>
    </row>
    <row r="3" spans="1:13" x14ac:dyDescent="0.25">
      <c r="A3" s="4" t="s">
        <v>53</v>
      </c>
      <c r="B3" s="5" t="s">
        <v>27</v>
      </c>
      <c r="C3" s="10">
        <v>42826</v>
      </c>
      <c r="D3" s="62">
        <v>57750.64822216882</v>
      </c>
      <c r="E3" s="59">
        <v>3</v>
      </c>
      <c r="F3" s="61">
        <v>3.1971560136349098</v>
      </c>
      <c r="G3" s="61" cm="1">
        <f t="array" ref="G3">MIN(D3,_xlfn.XLOOKUP(YEAR($C3)&amp;"Real GDP per capita (US$)",aus_data!$A:$A&amp;aus_data!$B:$B,aus_data!$D:$D))/MAX(D3,_xlfn.XLOOKUP(YEAR($C3)&amp;"Real GDP per capita (US$)",aus_data!$A:$A&amp;aus_data!$B:$B,aus_data!$D:$D))</f>
        <v>1</v>
      </c>
      <c r="H3" s="61" cm="1">
        <f t="array" ref="H3">MIN(E3,_xlfn.XLOOKUP(YEAR($C3)&amp;"# of MNOs",aus_data!$A:$A&amp;aus_data!$B:$B,aus_data!$D:$D))/MAX(E3,_xlfn.XLOOKUP(YEAR($C3)&amp;"# of MNOs",aus_data!$A:$A&amp;aus_data!$B:$B,aus_data!$D:$D))</f>
        <v>1</v>
      </c>
      <c r="I3" s="61" cm="1">
        <f t="array" ref="I3">MIN(F3,_xlfn.XLOOKUP(YEAR($C3)&amp;"Population density",aus_data!$A:$A&amp;aus_data!$B:$B,aus_data!$D:$D))/MAX(F3,_xlfn.XLOOKUP(YEAR($C3)&amp;"Population density",aus_data!$A:$A&amp;aus_data!$B:$B,aus_data!$D:$D))</f>
        <v>1</v>
      </c>
      <c r="J3" s="61">
        <f t="shared" ref="J3:J30" si="0">AVERAGE($G3:$I3)</f>
        <v>1</v>
      </c>
    </row>
    <row r="4" spans="1:13" x14ac:dyDescent="0.25">
      <c r="A4" s="4" t="s">
        <v>53</v>
      </c>
      <c r="B4" s="5" t="s">
        <v>164</v>
      </c>
      <c r="C4" s="10">
        <v>44531</v>
      </c>
      <c r="D4" s="62">
        <v>59276.503107196957</v>
      </c>
      <c r="E4" s="59">
        <v>3</v>
      </c>
      <c r="F4" s="61">
        <v>3.3392284471439231</v>
      </c>
      <c r="G4" s="61" cm="1">
        <f t="array" ref="G4">MIN(D4,_xlfn.XLOOKUP(YEAR($C4)&amp;"Real GDP per capita (US$)",aus_data!$A:$A&amp;aus_data!$B:$B,aus_data!$D:$D))/MAX(D4,_xlfn.XLOOKUP(YEAR($C4)&amp;"Real GDP per capita (US$)",aus_data!$A:$A&amp;aus_data!$B:$B,aus_data!$D:$D))</f>
        <v>1</v>
      </c>
      <c r="H4" s="61" cm="1">
        <f t="array" ref="H4">MIN(E4,_xlfn.XLOOKUP(YEAR($C4)&amp;"# of MNOs",aus_data!$A:$A&amp;aus_data!$B:$B,aus_data!$D:$D))/MAX(E4,_xlfn.XLOOKUP(YEAR($C4)&amp;"# of MNOs",aus_data!$A:$A&amp;aus_data!$B:$B,aus_data!$D:$D))</f>
        <v>1</v>
      </c>
      <c r="I4" s="61" cm="1">
        <f t="array" ref="I4">MIN(F4,_xlfn.XLOOKUP(YEAR($C4)&amp;"Population density",aus_data!$A:$A&amp;aus_data!$B:$B,aus_data!$D:$D))/MAX(F4,_xlfn.XLOOKUP(YEAR($C4)&amp;"Population density",aus_data!$A:$A&amp;aus_data!$B:$B,aus_data!$D:$D))</f>
        <v>1</v>
      </c>
      <c r="J4" s="61">
        <f t="shared" si="0"/>
        <v>1</v>
      </c>
      <c r="M4" s="36"/>
    </row>
    <row r="5" spans="1:13" x14ac:dyDescent="0.25">
      <c r="A5" s="4" t="s">
        <v>54</v>
      </c>
      <c r="B5" s="5" t="s">
        <v>77</v>
      </c>
      <c r="C5" s="10">
        <v>44713</v>
      </c>
      <c r="D5" s="62">
        <v>44583.576771176799</v>
      </c>
      <c r="E5" s="59">
        <v>4</v>
      </c>
      <c r="F5" s="61">
        <v>383.03305568308519</v>
      </c>
      <c r="G5" s="61" cm="1">
        <f t="array" ref="G5">MIN(D5,_xlfn.XLOOKUP(YEAR($C5)&amp;"Real GDP per capita (US$)",aus_data!$A:$A&amp;aus_data!$B:$B,aus_data!$D:$D))/MAX(D5,_xlfn.XLOOKUP(YEAR($C5)&amp;"Real GDP per capita (US$)",aus_data!$A:$A&amp;aus_data!$B:$B,aus_data!$D:$D))</f>
        <v>0.73076081438632612</v>
      </c>
      <c r="H5" s="61" cm="1">
        <f t="array" ref="H5">MIN(E5,_xlfn.XLOOKUP(YEAR($C5)&amp;"# of MNOs",aus_data!$A:$A&amp;aus_data!$B:$B,aus_data!$D:$D))/MAX(E5,_xlfn.XLOOKUP(YEAR($C5)&amp;"# of MNOs",aus_data!$A:$A&amp;aus_data!$B:$B,aus_data!$D:$D))</f>
        <v>0.75</v>
      </c>
      <c r="I5" s="61" cm="1">
        <f t="array" ref="I5">MIN(F5,_xlfn.XLOOKUP(YEAR($C5)&amp;"Population density",aus_data!$A:$A&amp;aus_data!$B:$B,aus_data!$D:$D))/MAX(F5,_xlfn.XLOOKUP(YEAR($C5)&amp;"Population density",aus_data!$A:$A&amp;aus_data!$B:$B,aus_data!$D:$D))</f>
        <v>8.8295208639557945E-3</v>
      </c>
      <c r="J5" s="61">
        <f t="shared" si="0"/>
        <v>0.49653011175009393</v>
      </c>
    </row>
    <row r="6" spans="1:13" x14ac:dyDescent="0.25">
      <c r="A6" s="4" t="s">
        <v>55</v>
      </c>
      <c r="B6" s="5" t="s">
        <v>78</v>
      </c>
      <c r="C6" s="10">
        <v>43556</v>
      </c>
      <c r="D6" s="62">
        <v>45100.291490326184</v>
      </c>
      <c r="E6" s="59">
        <v>3</v>
      </c>
      <c r="F6" s="61">
        <v>4.1958750065528312</v>
      </c>
      <c r="G6" s="61" cm="1">
        <f t="array" ref="G6">MIN(D6,_xlfn.XLOOKUP(YEAR($C6)&amp;"Real GDP per capita (US$)",aus_data!$A:$A&amp;aus_data!$B:$B,aus_data!$D:$D))/MAX(D6,_xlfn.XLOOKUP(YEAR($C6)&amp;"Real GDP per capita (US$)",aus_data!$A:$A&amp;aus_data!$B:$B,aus_data!$D:$D))</f>
        <v>0.7653881265053889</v>
      </c>
      <c r="H6" s="61" cm="1">
        <f t="array" ref="H6">MIN(E6,_xlfn.XLOOKUP(YEAR($C6)&amp;"# of MNOs",aus_data!$A:$A&amp;aus_data!$B:$B,aus_data!$D:$D))/MAX(E6,_xlfn.XLOOKUP(YEAR($C6)&amp;"# of MNOs",aus_data!$A:$A&amp;aus_data!$B:$B,aus_data!$D:$D))</f>
        <v>1</v>
      </c>
      <c r="I6" s="61" cm="1">
        <f t="array" ref="I6">MIN(F6,_xlfn.XLOOKUP(YEAR($C6)&amp;"Population density",aus_data!$A:$A&amp;aus_data!$B:$B,aus_data!$D:$D))/MAX(F6,_xlfn.XLOOKUP(YEAR($C6)&amp;"Population density",aus_data!$A:$A&amp;aus_data!$B:$B,aus_data!$D:$D))</f>
        <v>0.78497346974999016</v>
      </c>
      <c r="J6" s="61">
        <f t="shared" si="0"/>
        <v>0.85012053208512628</v>
      </c>
    </row>
    <row r="7" spans="1:13" x14ac:dyDescent="0.25">
      <c r="A7" s="4" t="s">
        <v>56</v>
      </c>
      <c r="B7" s="5" t="s">
        <v>27</v>
      </c>
      <c r="C7" s="10">
        <v>44409</v>
      </c>
      <c r="D7" s="62">
        <v>15394.470732808459</v>
      </c>
      <c r="E7" s="59">
        <v>3</v>
      </c>
      <c r="F7" s="61">
        <v>69.317030021443884</v>
      </c>
      <c r="G7" s="61" cm="1">
        <f t="array" ref="G7">MIN(D7,_xlfn.XLOOKUP(YEAR($C7)&amp;"Real GDP per capita (US$)",aus_data!$A:$A&amp;aus_data!$B:$B,aus_data!$D:$D))/MAX(D7,_xlfn.XLOOKUP(YEAR($C7)&amp;"Real GDP per capita (US$)",aus_data!$A:$A&amp;aus_data!$B:$B,aus_data!$D:$D))</f>
        <v>0.25970612174892899</v>
      </c>
      <c r="H7" s="61" cm="1">
        <f t="array" ref="H7">MIN(E7,_xlfn.XLOOKUP(YEAR($C7)&amp;"# of MNOs",aus_data!$A:$A&amp;aus_data!$B:$B,aus_data!$D:$D))/MAX(E7,_xlfn.XLOOKUP(YEAR($C7)&amp;"# of MNOs",aus_data!$A:$A&amp;aus_data!$B:$B,aus_data!$D:$D))</f>
        <v>1</v>
      </c>
      <c r="I7" s="61" cm="1">
        <f t="array" ref="I7">MIN(F7,_xlfn.XLOOKUP(YEAR($C7)&amp;"Population density",aus_data!$A:$A&amp;aus_data!$B:$B,aus_data!$D:$D))/MAX(F7,_xlfn.XLOOKUP(YEAR($C7)&amp;"Population density",aus_data!$A:$A&amp;aus_data!$B:$B,aus_data!$D:$D))</f>
        <v>4.8173276410009215E-2</v>
      </c>
      <c r="J7" s="61">
        <f t="shared" si="0"/>
        <v>0.43595979938631269</v>
      </c>
    </row>
    <row r="8" spans="1:13" x14ac:dyDescent="0.25">
      <c r="A8" s="4" t="s">
        <v>56</v>
      </c>
      <c r="B8" s="5" t="s">
        <v>79</v>
      </c>
      <c r="C8" s="10">
        <v>44986</v>
      </c>
      <c r="D8" s="62">
        <v>17147.166022662281</v>
      </c>
      <c r="E8" s="59">
        <v>3</v>
      </c>
      <c r="F8" s="61">
        <v>68.972230164403143</v>
      </c>
      <c r="G8" s="61" cm="1">
        <f t="array" ref="G8">MIN(D8,_xlfn.XLOOKUP(YEAR($C8)&amp;"Real GDP per capita (US$)",aus_data!$A:$A&amp;aus_data!$B:$B,aus_data!$D:$D))/MAX(D8,_xlfn.XLOOKUP(YEAR($C8)&amp;"Real GDP per capita (US$)",aus_data!$A:$A&amp;aus_data!$B:$B,aus_data!$D:$D))</f>
        <v>0.27843577236952416</v>
      </c>
      <c r="H8" s="61" cm="1">
        <f t="array" ref="H8">MIN(E8,_xlfn.XLOOKUP(YEAR($C8)&amp;"# of MNOs",aus_data!$A:$A&amp;aus_data!$B:$B,aus_data!$D:$D))/MAX(E8,_xlfn.XLOOKUP(YEAR($C8)&amp;"# of MNOs",aus_data!$A:$A&amp;aus_data!$B:$B,aus_data!$D:$D))</f>
        <v>1</v>
      </c>
      <c r="I8" s="61" cm="1">
        <f t="array" ref="I8">MIN(F8,_xlfn.XLOOKUP(YEAR($C8)&amp;"Population density",aus_data!$A:$A&amp;aus_data!$B:$B,aus_data!$D:$D))/MAX(F8,_xlfn.XLOOKUP(YEAR($C8)&amp;"Population density",aus_data!$A:$A&amp;aus_data!$B:$B,aus_data!$D:$D))</f>
        <v>5.0249105363011713E-2</v>
      </c>
      <c r="J8" s="61">
        <f t="shared" si="0"/>
        <v>0.4428949592441786</v>
      </c>
    </row>
    <row r="9" spans="1:13" x14ac:dyDescent="0.25">
      <c r="A9" s="4" t="s">
        <v>57</v>
      </c>
      <c r="B9" s="5" t="s">
        <v>27</v>
      </c>
      <c r="C9" s="10">
        <v>44136</v>
      </c>
      <c r="D9" s="62">
        <v>19233.146956549666</v>
      </c>
      <c r="E9" s="59">
        <v>3</v>
      </c>
      <c r="F9" s="61">
        <v>138.57592884216837</v>
      </c>
      <c r="G9" s="61" cm="1">
        <f t="array" ref="G9">MIN(D9,_xlfn.XLOOKUP(YEAR($C9)&amp;"Real GDP per capita (US$)",aus_data!$A:$A&amp;aus_data!$B:$B,aus_data!$D:$D))/MAX(D9,_xlfn.XLOOKUP(YEAR($C9)&amp;"Real GDP per capita (US$)",aus_data!$A:$A&amp;aus_data!$B:$B,aus_data!$D:$D))</f>
        <v>0.33084846153988318</v>
      </c>
      <c r="H9" s="61" cm="1">
        <f t="array" ref="H9">MIN(E9,_xlfn.XLOOKUP(YEAR($C9)&amp;"# of MNOs",aus_data!$A:$A&amp;aus_data!$B:$B,aus_data!$D:$D))/MAX(E9,_xlfn.XLOOKUP(YEAR($C9)&amp;"# of MNOs",aus_data!$A:$A&amp;aus_data!$B:$B,aus_data!$D:$D))</f>
        <v>1</v>
      </c>
      <c r="I9" s="61" cm="1">
        <f t="array" ref="I9">MIN(F9,_xlfn.XLOOKUP(YEAR($C9)&amp;"Population density",aus_data!$A:$A&amp;aus_data!$B:$B,aus_data!$D:$D))/MAX(F9,_xlfn.XLOOKUP(YEAR($C9)&amp;"Population density",aus_data!$A:$A&amp;aus_data!$B:$B,aus_data!$D:$D))</f>
        <v>2.4062815087502337E-2</v>
      </c>
      <c r="J9" s="61">
        <f t="shared" si="0"/>
        <v>0.45163709220912857</v>
      </c>
    </row>
    <row r="10" spans="1:13" x14ac:dyDescent="0.25">
      <c r="A10" s="4" t="s">
        <v>58</v>
      </c>
      <c r="B10" s="5" t="s">
        <v>27</v>
      </c>
      <c r="C10" s="10">
        <v>44866</v>
      </c>
      <c r="D10" s="62">
        <v>21080.651971668405</v>
      </c>
      <c r="E10" s="59">
        <v>3</v>
      </c>
      <c r="F10" s="61">
        <v>31.566580856541073</v>
      </c>
      <c r="G10" s="61" cm="1">
        <f t="array" ref="G10">MIN(D10,_xlfn.XLOOKUP(YEAR($C10)&amp;"Real GDP per capita (US$)",aus_data!$A:$A&amp;aus_data!$B:$B,aus_data!$D:$D))/MAX(D10,_xlfn.XLOOKUP(YEAR($C10)&amp;"Real GDP per capita (US$)",aus_data!$A:$A&amp;aus_data!$B:$B,aus_data!$D:$D))</f>
        <v>0.34552890365158778</v>
      </c>
      <c r="H10" s="61" cm="1">
        <f t="array" ref="H10">MIN(E10,_xlfn.XLOOKUP(YEAR($C10)&amp;"# of MNOs",aus_data!$A:$A&amp;aus_data!$B:$B,aus_data!$D:$D))/MAX(E10,_xlfn.XLOOKUP(YEAR($C10)&amp;"# of MNOs",aus_data!$A:$A&amp;aus_data!$B:$B,aus_data!$D:$D))</f>
        <v>1</v>
      </c>
      <c r="I10" s="61" cm="1">
        <f t="array" ref="I10">MIN(F10,_xlfn.XLOOKUP(YEAR($C10)&amp;"Population density",aus_data!$A:$A&amp;aus_data!$B:$B,aus_data!$D:$D))/MAX(F10,_xlfn.XLOOKUP(YEAR($C10)&amp;"Population density",aus_data!$A:$A&amp;aus_data!$B:$B,aus_data!$D:$D))</f>
        <v>0.10713857075964377</v>
      </c>
      <c r="J10" s="61">
        <f t="shared" si="0"/>
        <v>0.48422249147041052</v>
      </c>
    </row>
    <row r="11" spans="1:13" x14ac:dyDescent="0.25">
      <c r="A11" s="4" t="s">
        <v>59</v>
      </c>
      <c r="B11" s="5" t="s">
        <v>27</v>
      </c>
      <c r="C11" s="10">
        <v>44166</v>
      </c>
      <c r="D11" s="62">
        <v>17486.951380041486</v>
      </c>
      <c r="E11" s="59">
        <v>3</v>
      </c>
      <c r="F11" s="61">
        <v>82.999216446858028</v>
      </c>
      <c r="G11" s="61" cm="1">
        <f t="array" ref="G11">MIN(D11,_xlfn.XLOOKUP(YEAR($C11)&amp;"Real GDP per capita (US$)",aus_data!$A:$A&amp;aus_data!$B:$B,aus_data!$D:$D))/MAX(D11,_xlfn.XLOOKUP(YEAR($C11)&amp;"Real GDP per capita (US$)",aus_data!$A:$A&amp;aus_data!$B:$B,aus_data!$D:$D))</f>
        <v>0.30081041725411739</v>
      </c>
      <c r="H11" s="61" cm="1">
        <f t="array" ref="H11">MIN(E11,_xlfn.XLOOKUP(YEAR($C11)&amp;"# of MNOs",aus_data!$A:$A&amp;aus_data!$B:$B,aus_data!$D:$D))/MAX(E11,_xlfn.XLOOKUP(YEAR($C11)&amp;"# of MNOs",aus_data!$A:$A&amp;aus_data!$B:$B,aus_data!$D:$D))</f>
        <v>1</v>
      </c>
      <c r="I11" s="61" cm="1">
        <f t="array" ref="I11">MIN(F11,_xlfn.XLOOKUP(YEAR($C11)&amp;"Population density",aus_data!$A:$A&amp;aus_data!$B:$B,aus_data!$D:$D))/MAX(F11,_xlfn.XLOOKUP(YEAR($C11)&amp;"Population density",aus_data!$A:$A&amp;aus_data!$B:$B,aus_data!$D:$D))</f>
        <v>4.0175402781579016E-2</v>
      </c>
      <c r="J11" s="61">
        <f t="shared" si="0"/>
        <v>0.44699527334523209</v>
      </c>
    </row>
    <row r="12" spans="1:13" x14ac:dyDescent="0.25">
      <c r="A12" s="4" t="s">
        <v>60</v>
      </c>
      <c r="B12" s="5" t="s">
        <v>80</v>
      </c>
      <c r="C12" s="10">
        <v>43435</v>
      </c>
      <c r="D12" s="62">
        <v>45280.495542284058</v>
      </c>
      <c r="E12" s="59">
        <v>4</v>
      </c>
      <c r="F12" s="61">
        <v>7097.7142857142853</v>
      </c>
      <c r="G12" s="61" cm="1">
        <f t="array" ref="G12">MIN(D12,_xlfn.XLOOKUP(YEAR($C12)&amp;"Real GDP per capita (US$)",aus_data!$A:$A&amp;aus_data!$B:$B,aus_data!$D:$D))/MAX(D12,_xlfn.XLOOKUP(YEAR($C12)&amp;"Real GDP per capita (US$)",aus_data!$A:$A&amp;aus_data!$B:$B,aus_data!$D:$D))</f>
        <v>0.77361849378660175</v>
      </c>
      <c r="H12" s="61" cm="1">
        <f t="array" ref="H12">MIN(E12,_xlfn.XLOOKUP(YEAR($C12)&amp;"# of MNOs",aus_data!$A:$A&amp;aus_data!$B:$B,aus_data!$D:$D))/MAX(E12,_xlfn.XLOOKUP(YEAR($C12)&amp;"# of MNOs",aus_data!$A:$A&amp;aus_data!$B:$B,aus_data!$D:$D))</f>
        <v>0.75</v>
      </c>
      <c r="I12" s="61" cm="1">
        <f t="array" ref="I12">MIN(F12,_xlfn.XLOOKUP(YEAR($C12)&amp;"Population density",aus_data!$A:$A&amp;aus_data!$B:$B,aus_data!$D:$D))/MAX(F12,_xlfn.XLOOKUP(YEAR($C12)&amp;"Population density",aus_data!$A:$A&amp;aus_data!$B:$B,aus_data!$D:$D))</f>
        <v>4.5723803259196087E-4</v>
      </c>
      <c r="J12" s="61">
        <f t="shared" si="0"/>
        <v>0.50802524393973125</v>
      </c>
    </row>
    <row r="13" spans="1:13" x14ac:dyDescent="0.25">
      <c r="A13" s="4" t="s">
        <v>60</v>
      </c>
      <c r="B13" s="5" t="s">
        <v>27</v>
      </c>
      <c r="C13" s="10">
        <v>44470</v>
      </c>
      <c r="D13" s="62">
        <v>44530.941186818207</v>
      </c>
      <c r="E13" s="59">
        <v>4</v>
      </c>
      <c r="F13" s="61">
        <v>7060.0952380952385</v>
      </c>
      <c r="G13" s="61" cm="1">
        <f t="array" ref="G13">MIN(D13,_xlfn.XLOOKUP(YEAR($C13)&amp;"Real GDP per capita (US$)",aus_data!$A:$A&amp;aus_data!$B:$B,aus_data!$D:$D))/MAX(D13,_xlfn.XLOOKUP(YEAR($C13)&amp;"Real GDP per capita (US$)",aus_data!$A:$A&amp;aus_data!$B:$B,aus_data!$D:$D))</f>
        <v>0.75124102895016354</v>
      </c>
      <c r="H13" s="61" cm="1">
        <f t="array" ref="H13">MIN(E13,_xlfn.XLOOKUP(YEAR($C13)&amp;"# of MNOs",aus_data!$A:$A&amp;aus_data!$B:$B,aus_data!$D:$D))/MAX(E13,_xlfn.XLOOKUP(YEAR($C13)&amp;"# of MNOs",aus_data!$A:$A&amp;aus_data!$B:$B,aus_data!$D:$D))</f>
        <v>0.75</v>
      </c>
      <c r="I13" s="61" cm="1">
        <f t="array" ref="I13">MIN(F13,_xlfn.XLOOKUP(YEAR($C13)&amp;"Population density",aus_data!$A:$A&amp;aus_data!$B:$B,aus_data!$D:$D))/MAX(F13,_xlfn.XLOOKUP(YEAR($C13)&amp;"Population density",aus_data!$A:$A&amp;aus_data!$B:$B,aus_data!$D:$D))</f>
        <v>4.729721532828532E-4</v>
      </c>
      <c r="J13" s="61">
        <f t="shared" si="0"/>
        <v>0.5005713337011487</v>
      </c>
    </row>
    <row r="14" spans="1:13" x14ac:dyDescent="0.25">
      <c r="A14" s="4" t="s">
        <v>61</v>
      </c>
      <c r="B14" s="5" t="s">
        <v>80</v>
      </c>
      <c r="C14" s="10">
        <v>44197</v>
      </c>
      <c r="D14" s="62">
        <v>15521.381585225135</v>
      </c>
      <c r="E14" s="59">
        <v>4</v>
      </c>
      <c r="F14" s="61">
        <v>106.39810431733508</v>
      </c>
      <c r="G14" s="61" cm="1">
        <f t="array" ref="G14">MIN(D14,_xlfn.XLOOKUP(YEAR($C14)&amp;"Real GDP per capita (US$)",aus_data!$A:$A&amp;aus_data!$B:$B,aus_data!$D:$D))/MAX(D14,_xlfn.XLOOKUP(YEAR($C14)&amp;"Real GDP per capita (US$)",aus_data!$A:$A&amp;aus_data!$B:$B,aus_data!$D:$D))</f>
        <v>0.26184711937470267</v>
      </c>
      <c r="H14" s="61" cm="1">
        <f t="array" ref="H14">MIN(E14,_xlfn.XLOOKUP(YEAR($C14)&amp;"# of MNOs",aus_data!$A:$A&amp;aus_data!$B:$B,aus_data!$D:$D))/MAX(E14,_xlfn.XLOOKUP(YEAR($C14)&amp;"# of MNOs",aus_data!$A:$A&amp;aus_data!$B:$B,aus_data!$D:$D))</f>
        <v>0.75</v>
      </c>
      <c r="I14" s="61" cm="1">
        <f t="array" ref="I14">MIN(F14,_xlfn.XLOOKUP(YEAR($C14)&amp;"Population density",aus_data!$A:$A&amp;aus_data!$B:$B,aus_data!$D:$D))/MAX(F14,_xlfn.XLOOKUP(YEAR($C14)&amp;"Population density",aus_data!$A:$A&amp;aus_data!$B:$B,aus_data!$D:$D))</f>
        <v>3.1384285167192341E-2</v>
      </c>
      <c r="J14" s="61">
        <f t="shared" si="0"/>
        <v>0.34774380151396506</v>
      </c>
    </row>
    <row r="15" spans="1:13" x14ac:dyDescent="0.25">
      <c r="A15" s="4" t="s">
        <v>62</v>
      </c>
      <c r="B15" s="5" t="s">
        <v>81</v>
      </c>
      <c r="C15" s="10">
        <v>42887</v>
      </c>
      <c r="D15" s="62">
        <v>56501.457678879284</v>
      </c>
      <c r="E15" s="59">
        <v>3</v>
      </c>
      <c r="F15" s="61">
        <v>3.4254364089775562</v>
      </c>
      <c r="G15" s="61" cm="1">
        <f t="array" ref="G15">MIN(D15,_xlfn.XLOOKUP(YEAR($C15)&amp;"Real GDP per capita (US$)",aus_data!$A:$A&amp;aus_data!$B:$B,aus_data!$D:$D))/MAX(D15,_xlfn.XLOOKUP(YEAR($C15)&amp;"Real GDP per capita (US$)",aus_data!$A:$A&amp;aus_data!$B:$B,aus_data!$D:$D))</f>
        <v>0.9783692377186165</v>
      </c>
      <c r="H15" s="61" cm="1">
        <f t="array" ref="H15">MIN(E15,_xlfn.XLOOKUP(YEAR($C15)&amp;"# of MNOs",aus_data!$A:$A&amp;aus_data!$B:$B,aus_data!$D:$D))/MAX(E15,_xlfn.XLOOKUP(YEAR($C15)&amp;"# of MNOs",aus_data!$A:$A&amp;aus_data!$B:$B,aus_data!$D:$D))</f>
        <v>1</v>
      </c>
      <c r="I15" s="61" cm="1">
        <f t="array" ref="I15">MIN(F15,_xlfn.XLOOKUP(YEAR($C15)&amp;"Population density",aus_data!$A:$A&amp;aus_data!$B:$B,aus_data!$D:$D))/MAX(F15,_xlfn.XLOOKUP(YEAR($C15)&amp;"Population density",aus_data!$A:$A&amp;aus_data!$B:$B,aus_data!$D:$D))</f>
        <v>0.93335728120821115</v>
      </c>
      <c r="J15" s="61">
        <f t="shared" si="0"/>
        <v>0.97057550630894251</v>
      </c>
    </row>
    <row r="16" spans="1:13" x14ac:dyDescent="0.25">
      <c r="A16" s="4" t="s">
        <v>63</v>
      </c>
      <c r="B16" s="5" t="s">
        <v>27</v>
      </c>
      <c r="C16" s="10">
        <v>43374</v>
      </c>
      <c r="D16" s="62">
        <v>31675.575801495146</v>
      </c>
      <c r="E16" s="59">
        <v>4</v>
      </c>
      <c r="F16" s="61">
        <v>204.32222590440892</v>
      </c>
      <c r="G16" s="61" cm="1">
        <f t="array" ref="G16">MIN(D16,_xlfn.XLOOKUP(YEAR($C16)&amp;"Real GDP per capita (US$)",aus_data!$A:$A&amp;aus_data!$B:$B,aus_data!$D:$D))/MAX(D16,_xlfn.XLOOKUP(YEAR($C16)&amp;"Real GDP per capita (US$)",aus_data!$A:$A&amp;aus_data!$B:$B,aus_data!$D:$D))</f>
        <v>0.54117807121816497</v>
      </c>
      <c r="H16" s="61" cm="1">
        <f t="array" ref="H16">MIN(E16,_xlfn.XLOOKUP(YEAR($C16)&amp;"# of MNOs",aus_data!$A:$A&amp;aus_data!$B:$B,aus_data!$D:$D))/MAX(E16,_xlfn.XLOOKUP(YEAR($C16)&amp;"# of MNOs",aus_data!$A:$A&amp;aus_data!$B:$B,aus_data!$D:$D))</f>
        <v>0.75</v>
      </c>
      <c r="I16" s="61" cm="1">
        <f t="array" ref="I16">MIN(F16,_xlfn.XLOOKUP(YEAR($C16)&amp;"Population density",aus_data!$A:$A&amp;aus_data!$B:$B,aus_data!$D:$D))/MAX(F16,_xlfn.XLOOKUP(YEAR($C16)&amp;"Population density",aus_data!$A:$A&amp;aus_data!$B:$B,aus_data!$D:$D))</f>
        <v>1.5883464960968919E-2</v>
      </c>
      <c r="J16" s="61">
        <f t="shared" si="0"/>
        <v>0.43568717872637802</v>
      </c>
    </row>
    <row r="17" spans="1:10" x14ac:dyDescent="0.25">
      <c r="A17" s="4" t="s">
        <v>64</v>
      </c>
      <c r="B17" s="5" t="s">
        <v>27</v>
      </c>
      <c r="C17" s="10">
        <v>44774</v>
      </c>
      <c r="D17" s="62">
        <v>18884.514857505139</v>
      </c>
      <c r="E17" s="59">
        <v>3</v>
      </c>
      <c r="F17" s="61">
        <v>45.230959683087342</v>
      </c>
      <c r="G17" s="61" cm="1">
        <f t="array" ref="G17">MIN(D17,_xlfn.XLOOKUP(YEAR($C17)&amp;"Real GDP per capita (US$)",aus_data!$A:$A&amp;aus_data!$B:$B,aus_data!$D:$D))/MAX(D17,_xlfn.XLOOKUP(YEAR($C17)&amp;"Real GDP per capita (US$)",aus_data!$A:$A&amp;aus_data!$B:$B,aus_data!$D:$D))</f>
        <v>0.30953244346879877</v>
      </c>
      <c r="H17" s="61" cm="1">
        <f t="array" ref="H17">MIN(E17,_xlfn.XLOOKUP(YEAR($C17)&amp;"# of MNOs",aus_data!$A:$A&amp;aus_data!$B:$B,aus_data!$D:$D))/MAX(E17,_xlfn.XLOOKUP(YEAR($C17)&amp;"# of MNOs",aus_data!$A:$A&amp;aus_data!$B:$B,aus_data!$D:$D))</f>
        <v>1</v>
      </c>
      <c r="I17" s="61" cm="1">
        <f t="array" ref="I17">MIN(F17,_xlfn.XLOOKUP(YEAR($C17)&amp;"Population density",aus_data!$A:$A&amp;aus_data!$B:$B,aus_data!$D:$D))/MAX(F17,_xlfn.XLOOKUP(YEAR($C17)&amp;"Population density",aus_data!$A:$A&amp;aus_data!$B:$B,aus_data!$D:$D))</f>
        <v>7.4771757672944777E-2</v>
      </c>
      <c r="J17" s="61">
        <f t="shared" si="0"/>
        <v>0.46143473371391447</v>
      </c>
    </row>
    <row r="18" spans="1:10" x14ac:dyDescent="0.25">
      <c r="A18" s="4" t="s">
        <v>65</v>
      </c>
      <c r="B18" s="5" t="s">
        <v>27</v>
      </c>
      <c r="C18" s="10">
        <v>44044</v>
      </c>
      <c r="D18" s="62">
        <v>104616.0346780102</v>
      </c>
      <c r="E18" s="59">
        <v>3</v>
      </c>
      <c r="F18" s="61">
        <v>244.87426489438562</v>
      </c>
      <c r="G18" s="61" cm="1">
        <f t="array" ref="G18">MIN(D18,_xlfn.XLOOKUP(YEAR($C18)&amp;"Real GDP per capita (US$)",aus_data!$A:$A&amp;aus_data!$B:$B,aus_data!$D:$D))/MAX(D18,_xlfn.XLOOKUP(YEAR($C18)&amp;"Real GDP per capita (US$)",aus_data!$A:$A&amp;aus_data!$B:$B,aus_data!$D:$D))</f>
        <v>0.55567770946918982</v>
      </c>
      <c r="H18" s="61" cm="1">
        <f t="array" ref="H18">MIN(E18,_xlfn.XLOOKUP(YEAR($C18)&amp;"# of MNOs",aus_data!$A:$A&amp;aus_data!$B:$B,aus_data!$D:$D))/MAX(E18,_xlfn.XLOOKUP(YEAR($C18)&amp;"# of MNOs",aus_data!$A:$A&amp;aus_data!$B:$B,aus_data!$D:$D))</f>
        <v>1</v>
      </c>
      <c r="I18" s="61" cm="1">
        <f t="array" ref="I18">MIN(F18,_xlfn.XLOOKUP(YEAR($C18)&amp;"Population density",aus_data!$A:$A&amp;aus_data!$B:$B,aus_data!$D:$D))/MAX(F18,_xlfn.XLOOKUP(YEAR($C18)&amp;"Population density",aus_data!$A:$A&amp;aus_data!$B:$B,aus_data!$D:$D))</f>
        <v>1.3617302548089984E-2</v>
      </c>
      <c r="J18" s="61">
        <f t="shared" si="0"/>
        <v>0.52309833733909328</v>
      </c>
    </row>
    <row r="19" spans="1:10" x14ac:dyDescent="0.25">
      <c r="A19" s="4" t="s">
        <v>66</v>
      </c>
      <c r="B19" s="5" t="s">
        <v>80</v>
      </c>
      <c r="C19" s="10">
        <v>42856</v>
      </c>
      <c r="D19" s="62">
        <v>76247.411655688149</v>
      </c>
      <c r="E19" s="59">
        <v>3</v>
      </c>
      <c r="F19" s="61">
        <v>14.452576255124985</v>
      </c>
      <c r="G19" s="61" cm="1">
        <f t="array" ref="G19">MIN(D19,_xlfn.XLOOKUP(YEAR($C19)&amp;"Real GDP per capita (US$)",aus_data!$A:$A&amp;aus_data!$B:$B,aus_data!$D:$D))/MAX(D19,_xlfn.XLOOKUP(YEAR($C19)&amp;"Real GDP per capita (US$)",aus_data!$A:$A&amp;aus_data!$B:$B,aus_data!$D:$D))</f>
        <v>0.75741126115801138</v>
      </c>
      <c r="H19" s="61" cm="1">
        <f t="array" ref="H19">MIN(E19,_xlfn.XLOOKUP(YEAR($C19)&amp;"# of MNOs",aus_data!$A:$A&amp;aus_data!$B:$B,aus_data!$D:$D))/MAX(E19,_xlfn.XLOOKUP(YEAR($C19)&amp;"# of MNOs",aus_data!$A:$A&amp;aus_data!$B:$B,aus_data!$D:$D))</f>
        <v>1</v>
      </c>
      <c r="I19" s="61" cm="1">
        <f t="array" ref="I19">MIN(F19,_xlfn.XLOOKUP(YEAR($C19)&amp;"Population density",aus_data!$A:$A&amp;aus_data!$B:$B,aus_data!$D:$D))/MAX(F19,_xlfn.XLOOKUP(YEAR($C19)&amp;"Population density",aus_data!$A:$A&amp;aus_data!$B:$B,aus_data!$D:$D))</f>
        <v>0.22121703128888012</v>
      </c>
      <c r="J19" s="61">
        <f t="shared" si="0"/>
        <v>0.65954276414896384</v>
      </c>
    </row>
    <row r="20" spans="1:10" x14ac:dyDescent="0.25">
      <c r="A20" s="4" t="s">
        <v>67</v>
      </c>
      <c r="B20" s="5" t="s">
        <v>77</v>
      </c>
      <c r="C20" s="10">
        <v>44470</v>
      </c>
      <c r="D20" s="62">
        <v>20747.699097903107</v>
      </c>
      <c r="E20" s="59">
        <v>3</v>
      </c>
      <c r="F20" s="61">
        <v>113.11351052774066</v>
      </c>
      <c r="G20" s="61" cm="1">
        <f t="array" ref="G20">MIN(D20,_xlfn.XLOOKUP(YEAR($C20)&amp;"Real GDP per capita (US$)",aus_data!$A:$A&amp;aus_data!$B:$B,aus_data!$D:$D))/MAX(D20,_xlfn.XLOOKUP(YEAR($C20)&amp;"Real GDP per capita (US$)",aus_data!$A:$A&amp;aus_data!$B:$B,aus_data!$D:$D))</f>
        <v>0.35001557126915034</v>
      </c>
      <c r="H20" s="61" cm="1">
        <f t="array" ref="H20">MIN(E20,_xlfn.XLOOKUP(YEAR($C20)&amp;"# of MNOs",aus_data!$A:$A&amp;aus_data!$B:$B,aus_data!$D:$D))/MAX(E20,_xlfn.XLOOKUP(YEAR($C20)&amp;"# of MNOs",aus_data!$A:$A&amp;aus_data!$B:$B,aus_data!$D:$D))</f>
        <v>1</v>
      </c>
      <c r="I20" s="61" cm="1">
        <f t="array" ref="I20">MIN(F20,_xlfn.XLOOKUP(YEAR($C20)&amp;"Population density",aus_data!$A:$A&amp;aus_data!$B:$B,aus_data!$D:$D))/MAX(F20,_xlfn.XLOOKUP(YEAR($C20)&amp;"Population density",aus_data!$A:$A&amp;aus_data!$B:$B,aus_data!$D:$D))</f>
        <v>2.9521039808281701E-2</v>
      </c>
      <c r="J20" s="61">
        <f t="shared" si="0"/>
        <v>0.45984553702581071</v>
      </c>
    </row>
    <row r="21" spans="1:10" x14ac:dyDescent="0.25">
      <c r="A21" s="4" t="s">
        <v>68</v>
      </c>
      <c r="B21" s="5" t="s">
        <v>27</v>
      </c>
      <c r="C21" s="10">
        <v>42826</v>
      </c>
      <c r="D21" s="62">
        <v>59414.654945910304</v>
      </c>
      <c r="E21" s="59">
        <v>4</v>
      </c>
      <c r="F21" s="61">
        <v>7882.3778089887637</v>
      </c>
      <c r="G21" s="61" cm="1">
        <f t="array" ref="G21">MIN(D21,_xlfn.XLOOKUP(YEAR($C21)&amp;"Real GDP per capita (US$)",aus_data!$A:$A&amp;aus_data!$B:$B,aus_data!$D:$D))/MAX(D21,_xlfn.XLOOKUP(YEAR($C21)&amp;"Real GDP per capita (US$)",aus_data!$A:$A&amp;aus_data!$B:$B,aus_data!$D:$D))</f>
        <v>0.97199332849351128</v>
      </c>
      <c r="H21" s="61" cm="1">
        <f t="array" ref="H21">MIN(E21,_xlfn.XLOOKUP(YEAR($C21)&amp;"# of MNOs",aus_data!$A:$A&amp;aus_data!$B:$B,aus_data!$D:$D))/MAX(E21,_xlfn.XLOOKUP(YEAR($C21)&amp;"# of MNOs",aus_data!$A:$A&amp;aus_data!$B:$B,aus_data!$D:$D))</f>
        <v>0.75</v>
      </c>
      <c r="I21" s="61" cm="1">
        <f t="array" ref="I21">MIN(F21,_xlfn.XLOOKUP(YEAR($C21)&amp;"Population density",aus_data!$A:$A&amp;aus_data!$B:$B,aus_data!$D:$D))/MAX(F21,_xlfn.XLOOKUP(YEAR($C21)&amp;"Population density",aus_data!$A:$A&amp;aus_data!$B:$B,aus_data!$D:$D))</f>
        <v>4.0560806537197374E-4</v>
      </c>
      <c r="J21" s="61">
        <f t="shared" si="0"/>
        <v>0.57413297885296111</v>
      </c>
    </row>
    <row r="22" spans="1:10" x14ac:dyDescent="0.25">
      <c r="A22" s="4" t="s">
        <v>68</v>
      </c>
      <c r="B22" s="5" t="s">
        <v>80</v>
      </c>
      <c r="C22" s="10">
        <v>42826</v>
      </c>
      <c r="D22" s="62">
        <v>59414.654945910304</v>
      </c>
      <c r="E22" s="59">
        <v>4</v>
      </c>
      <c r="F22" s="61">
        <v>7882.3778089887637</v>
      </c>
      <c r="G22" s="61" cm="1">
        <f t="array" ref="G22">MIN(D22,_xlfn.XLOOKUP(YEAR($C22)&amp;"Real GDP per capita (US$)",aus_data!$A:$A&amp;aus_data!$B:$B,aus_data!$D:$D))/MAX(D22,_xlfn.XLOOKUP(YEAR($C22)&amp;"Real GDP per capita (US$)",aus_data!$A:$A&amp;aus_data!$B:$B,aus_data!$D:$D))</f>
        <v>0.97199332849351128</v>
      </c>
      <c r="H22" s="61" cm="1">
        <f t="array" ref="H22">MIN(E22,_xlfn.XLOOKUP(YEAR($C22)&amp;"# of MNOs",aus_data!$A:$A&amp;aus_data!$B:$B,aus_data!$D:$D))/MAX(E22,_xlfn.XLOOKUP(YEAR($C22)&amp;"# of MNOs",aus_data!$A:$A&amp;aus_data!$B:$B,aus_data!$D:$D))</f>
        <v>0.75</v>
      </c>
      <c r="I22" s="61" cm="1">
        <f t="array" ref="I22">MIN(F22,_xlfn.XLOOKUP(YEAR($C22)&amp;"Population density",aus_data!$A:$A&amp;aus_data!$B:$B,aus_data!$D:$D))/MAX(F22,_xlfn.XLOOKUP(YEAR($C22)&amp;"Population density",aus_data!$A:$A&amp;aus_data!$B:$B,aus_data!$D:$D))</f>
        <v>4.0560806537197374E-4</v>
      </c>
      <c r="J22" s="61">
        <f t="shared" si="0"/>
        <v>0.57413297885296111</v>
      </c>
    </row>
    <row r="23" spans="1:10" x14ac:dyDescent="0.25">
      <c r="A23" s="4" t="s">
        <v>69</v>
      </c>
      <c r="B23" s="5" t="s">
        <v>27</v>
      </c>
      <c r="C23" s="10">
        <v>44136</v>
      </c>
      <c r="D23" s="62">
        <v>17763.856402931699</v>
      </c>
      <c r="E23" s="59">
        <v>4</v>
      </c>
      <c r="F23" s="61">
        <v>113.53633527454242</v>
      </c>
      <c r="G23" s="61" cm="1">
        <f t="array" ref="G23">MIN(D23,_xlfn.XLOOKUP(YEAR($C23)&amp;"Real GDP per capita (US$)",aus_data!$A:$A&amp;aus_data!$B:$B,aus_data!$D:$D))/MAX(D23,_xlfn.XLOOKUP(YEAR($C23)&amp;"Real GDP per capita (US$)",aus_data!$A:$A&amp;aus_data!$B:$B,aus_data!$D:$D))</f>
        <v>0.30557373555157857</v>
      </c>
      <c r="H23" s="61" cm="1">
        <f t="array" ref="H23">MIN(E23,_xlfn.XLOOKUP(YEAR($C23)&amp;"# of MNOs",aus_data!$A:$A&amp;aus_data!$B:$B,aus_data!$D:$D))/MAX(E23,_xlfn.XLOOKUP(YEAR($C23)&amp;"# of MNOs",aus_data!$A:$A&amp;aus_data!$B:$B,aus_data!$D:$D))</f>
        <v>0.75</v>
      </c>
      <c r="I23" s="61" cm="1">
        <f t="array" ref="I23">MIN(F23,_xlfn.XLOOKUP(YEAR($C23)&amp;"Population density",aus_data!$A:$A&amp;aus_data!$B:$B,aus_data!$D:$D))/MAX(F23,_xlfn.XLOOKUP(YEAR($C23)&amp;"Population density",aus_data!$A:$A&amp;aus_data!$B:$B,aus_data!$D:$D))</f>
        <v>2.9369689828764978E-2</v>
      </c>
      <c r="J23" s="61">
        <f t="shared" si="0"/>
        <v>0.36164780846011452</v>
      </c>
    </row>
    <row r="24" spans="1:10" x14ac:dyDescent="0.25">
      <c r="A24" s="4" t="s">
        <v>70</v>
      </c>
      <c r="B24" s="5" t="s">
        <v>27</v>
      </c>
      <c r="C24" s="10">
        <v>44287</v>
      </c>
      <c r="D24" s="62">
        <v>24659.249901338451</v>
      </c>
      <c r="E24" s="59">
        <v>4</v>
      </c>
      <c r="F24" s="61">
        <v>104.68996444250213</v>
      </c>
      <c r="G24" s="61" cm="1">
        <f t="array" ref="G24">MIN(D24,_xlfn.XLOOKUP(YEAR($C24)&amp;"Real GDP per capita (US$)",aus_data!$A:$A&amp;aus_data!$B:$B,aus_data!$D:$D))/MAX(D24,_xlfn.XLOOKUP(YEAR($C24)&amp;"Real GDP per capita (US$)",aus_data!$A:$A&amp;aus_data!$B:$B,aus_data!$D:$D))</f>
        <v>0.4160037891699534</v>
      </c>
      <c r="H24" s="61" cm="1">
        <f t="array" ref="H24">MIN(E24,_xlfn.XLOOKUP(YEAR($C24)&amp;"# of MNOs",aus_data!$A:$A&amp;aus_data!$B:$B,aus_data!$D:$D))/MAX(E24,_xlfn.XLOOKUP(YEAR($C24)&amp;"# of MNOs",aus_data!$A:$A&amp;aus_data!$B:$B,aus_data!$D:$D))</f>
        <v>0.75</v>
      </c>
      <c r="I24" s="61" cm="1">
        <f t="array" ref="I24">MIN(F24,_xlfn.XLOOKUP(YEAR($C24)&amp;"Population density",aus_data!$A:$A&amp;aus_data!$B:$B,aus_data!$D:$D))/MAX(F24,_xlfn.XLOOKUP(YEAR($C24)&amp;"Population density",aus_data!$A:$A&amp;aus_data!$B:$B,aus_data!$D:$D))</f>
        <v>3.1896356684483311E-2</v>
      </c>
      <c r="J24" s="61">
        <f t="shared" si="0"/>
        <v>0.3993000486181455</v>
      </c>
    </row>
    <row r="25" spans="1:10" x14ac:dyDescent="0.25">
      <c r="A25" s="4" t="s">
        <v>71</v>
      </c>
      <c r="B25" s="5" t="s">
        <v>27</v>
      </c>
      <c r="C25" s="10">
        <v>44378</v>
      </c>
      <c r="D25" s="62">
        <v>26721.148180545268</v>
      </c>
      <c r="E25" s="59">
        <v>4</v>
      </c>
      <c r="F25" s="61">
        <v>94.882208796979697</v>
      </c>
      <c r="G25" s="61" cm="1">
        <f t="array" ref="G25">MIN(D25,_xlfn.XLOOKUP(YEAR($C25)&amp;"Real GDP per capita (US$)",aus_data!$A:$A&amp;aus_data!$B:$B,aus_data!$D:$D))/MAX(D25,_xlfn.XLOOKUP(YEAR($C25)&amp;"Real GDP per capita (US$)",aus_data!$A:$A&amp;aus_data!$B:$B,aus_data!$D:$D))</f>
        <v>0.45078820071794967</v>
      </c>
      <c r="H25" s="61" cm="1">
        <f t="array" ref="H25">MIN(E25,_xlfn.XLOOKUP(YEAR($C25)&amp;"# of MNOs",aus_data!$A:$A&amp;aus_data!$B:$B,aus_data!$D:$D))/MAX(E25,_xlfn.XLOOKUP(YEAR($C25)&amp;"# of MNOs",aus_data!$A:$A&amp;aus_data!$B:$B,aus_data!$D:$D))</f>
        <v>0.75</v>
      </c>
      <c r="I25" s="61" cm="1">
        <f t="array" ref="I25">MIN(F25,_xlfn.XLOOKUP(YEAR($C25)&amp;"Population density",aus_data!$A:$A&amp;aus_data!$B:$B,aus_data!$D:$D))/MAX(F25,_xlfn.XLOOKUP(YEAR($C25)&amp;"Population density",aus_data!$A:$A&amp;aus_data!$B:$B,aus_data!$D:$D))</f>
        <v>3.5193409696952775E-2</v>
      </c>
      <c r="J25" s="61">
        <f t="shared" si="0"/>
        <v>0.4119938701383008</v>
      </c>
    </row>
    <row r="26" spans="1:10" x14ac:dyDescent="0.25">
      <c r="A26" s="4" t="s">
        <v>72</v>
      </c>
      <c r="B26" s="5" t="s">
        <v>27</v>
      </c>
      <c r="C26" s="10">
        <v>43435</v>
      </c>
      <c r="D26" s="62">
        <v>52363.382918129566</v>
      </c>
      <c r="E26" s="59">
        <v>3</v>
      </c>
      <c r="F26" s="61">
        <v>24.981458868837798</v>
      </c>
      <c r="G26" s="61" cm="1">
        <f t="array" ref="G26">MIN(D26,_xlfn.XLOOKUP(YEAR($C26)&amp;"Real GDP per capita (US$)",aus_data!$A:$A&amp;aus_data!$B:$B,aus_data!$D:$D))/MAX(D26,_xlfn.XLOOKUP(YEAR($C26)&amp;"Real GDP per capita (US$)",aus_data!$A:$A&amp;aus_data!$B:$B,aus_data!$D:$D))</f>
        <v>0.89462981660317487</v>
      </c>
      <c r="H26" s="61" cm="1">
        <f t="array" ref="H26">MIN(E26,_xlfn.XLOOKUP(YEAR($C26)&amp;"# of MNOs",aus_data!$A:$A&amp;aus_data!$B:$B,aus_data!$D:$D))/MAX(E26,_xlfn.XLOOKUP(YEAR($C26)&amp;"# of MNOs",aus_data!$A:$A&amp;aus_data!$B:$B,aus_data!$D:$D))</f>
        <v>1</v>
      </c>
      <c r="I26" s="61" cm="1">
        <f t="array" ref="I26">MIN(F26,_xlfn.XLOOKUP(YEAR($C26)&amp;"Population density",aus_data!$A:$A&amp;aus_data!$B:$B,aus_data!$D:$D))/MAX(F26,_xlfn.XLOOKUP(YEAR($C26)&amp;"Population density",aus_data!$A:$A&amp;aus_data!$B:$B,aus_data!$D:$D))</f>
        <v>0.12991014387667091</v>
      </c>
      <c r="J26" s="61">
        <f t="shared" si="0"/>
        <v>0.67484665349328188</v>
      </c>
    </row>
    <row r="27" spans="1:10" x14ac:dyDescent="0.25">
      <c r="A27" s="4" t="s">
        <v>72</v>
      </c>
      <c r="B27" s="5" t="s">
        <v>80</v>
      </c>
      <c r="C27" s="10">
        <v>45170</v>
      </c>
      <c r="D27" s="62">
        <v>54449.798204295257</v>
      </c>
      <c r="E27" s="59">
        <v>3</v>
      </c>
      <c r="F27" s="61">
        <v>25.870732665488116</v>
      </c>
      <c r="G27" s="61" cm="1">
        <f t="array" ref="G27">MIN(D27,_xlfn.XLOOKUP(YEAR($C27)&amp;"Real GDP per capita (US$)",aus_data!$A:$A&amp;aus_data!$B:$B,aus_data!$D:$D))/MAX(D27,_xlfn.XLOOKUP(YEAR($C27)&amp;"Real GDP per capita (US$)",aus_data!$A:$A&amp;aus_data!$B:$B,aus_data!$D:$D))</f>
        <v>0.88415611059814103</v>
      </c>
      <c r="H27" s="61" cm="1">
        <f t="array" ref="H27">MIN(E27,_xlfn.XLOOKUP(YEAR($C27)&amp;"# of MNOs",aus_data!$A:$A&amp;aus_data!$B:$B,aus_data!$D:$D))/MAX(E27,_xlfn.XLOOKUP(YEAR($C27)&amp;"# of MNOs",aus_data!$A:$A&amp;aus_data!$B:$B,aus_data!$D:$D))</f>
        <v>1</v>
      </c>
      <c r="I27" s="61" cm="1">
        <f t="array" ref="I27">MIN(F27,_xlfn.XLOOKUP(YEAR($C27)&amp;"Population density",aus_data!$A:$A&amp;aus_data!$B:$B,aus_data!$D:$D))/MAX(F27,_xlfn.XLOOKUP(YEAR($C27)&amp;"Population density",aus_data!$A:$A&amp;aus_data!$B:$B,aus_data!$D:$D))</f>
        <v>0.13396577922496952</v>
      </c>
      <c r="J27" s="61">
        <f t="shared" si="0"/>
        <v>0.67270729660770356</v>
      </c>
    </row>
    <row r="28" spans="1:10" x14ac:dyDescent="0.25">
      <c r="A28" s="4" t="s">
        <v>73</v>
      </c>
      <c r="B28" s="5" t="s">
        <v>27</v>
      </c>
      <c r="C28" s="10">
        <v>43862</v>
      </c>
      <c r="D28" s="62">
        <v>6035.1862773707708</v>
      </c>
      <c r="E28" s="59">
        <v>3</v>
      </c>
      <c r="F28" s="61">
        <v>140.22878506136351</v>
      </c>
      <c r="G28" s="61" cm="1">
        <f t="array" ref="G28">MIN(D28,_xlfn.XLOOKUP(YEAR($C28)&amp;"Real GDP per capita (US$)",aus_data!$A:$A&amp;aus_data!$B:$B,aus_data!$D:$D))/MAX(D28,_xlfn.XLOOKUP(YEAR($C28)&amp;"Real GDP per capita (US$)",aus_data!$A:$A&amp;aus_data!$B:$B,aus_data!$D:$D))</f>
        <v>0.10381723279532089</v>
      </c>
      <c r="H28" s="61" cm="1">
        <f t="array" ref="H28">MIN(E28,_xlfn.XLOOKUP(YEAR($C28)&amp;"# of MNOs",aus_data!$A:$A&amp;aus_data!$B:$B,aus_data!$D:$D))/MAX(E28,_xlfn.XLOOKUP(YEAR($C28)&amp;"# of MNOs",aus_data!$A:$A&amp;aus_data!$B:$B,aus_data!$D:$D))</f>
        <v>1</v>
      </c>
      <c r="I28" s="61" cm="1">
        <f t="array" ref="I28">MIN(F28,_xlfn.XLOOKUP(YEAR($C28)&amp;"Population density",aus_data!$A:$A&amp;aus_data!$B:$B,aus_data!$D:$D))/MAX(F28,_xlfn.XLOOKUP(YEAR($C28)&amp;"Population density",aus_data!$A:$A&amp;aus_data!$B:$B,aus_data!$D:$D))</f>
        <v>2.3779190198708521E-2</v>
      </c>
      <c r="J28" s="61">
        <f t="shared" si="0"/>
        <v>0.37586547433134315</v>
      </c>
    </row>
    <row r="29" spans="1:10" x14ac:dyDescent="0.25">
      <c r="A29" s="4" t="s">
        <v>74</v>
      </c>
      <c r="B29" s="5" t="s">
        <v>27</v>
      </c>
      <c r="C29" s="10">
        <v>44256</v>
      </c>
      <c r="D29" s="62">
        <v>45873.869597011049</v>
      </c>
      <c r="E29" s="59">
        <v>4</v>
      </c>
      <c r="F29" s="61">
        <v>277.04828669449842</v>
      </c>
      <c r="G29" s="61" cm="1">
        <f t="array" ref="G29">MIN(D29,_xlfn.XLOOKUP(YEAR($C29)&amp;"Real GDP per capita (US$)",aus_data!$A:$A&amp;aus_data!$B:$B,aus_data!$D:$D))/MAX(D29,_xlfn.XLOOKUP(YEAR($C29)&amp;"Real GDP per capita (US$)",aus_data!$A:$A&amp;aus_data!$B:$B,aus_data!$D:$D))</f>
        <v>0.77389635340080221</v>
      </c>
      <c r="H29" s="61" cm="1">
        <f t="array" ref="H29">MIN(E29,_xlfn.XLOOKUP(YEAR($C29)&amp;"# of MNOs",aus_data!$A:$A&amp;aus_data!$B:$B,aus_data!$D:$D))/MAX(E29,_xlfn.XLOOKUP(YEAR($C29)&amp;"# of MNOs",aus_data!$A:$A&amp;aus_data!$B:$B,aus_data!$D:$D))</f>
        <v>0.75</v>
      </c>
      <c r="I29" s="61" cm="1">
        <f t="array" ref="I29">MIN(F29,_xlfn.XLOOKUP(YEAR($C29)&amp;"Population density",aus_data!$A:$A&amp;aus_data!$B:$B,aus_data!$D:$D))/MAX(F29,_xlfn.XLOOKUP(YEAR($C29)&amp;"Population density",aus_data!$A:$A&amp;aus_data!$B:$B,aus_data!$D:$D))</f>
        <v>1.2052875283889035E-2</v>
      </c>
      <c r="J29" s="61">
        <f t="shared" si="0"/>
        <v>0.51198307622823036</v>
      </c>
    </row>
    <row r="30" spans="1:10" x14ac:dyDescent="0.25">
      <c r="A30" s="4" t="s">
        <v>75</v>
      </c>
      <c r="B30" s="5" t="s">
        <v>78</v>
      </c>
      <c r="C30" s="10">
        <v>42795</v>
      </c>
      <c r="D30" s="62">
        <v>58703.144078016121</v>
      </c>
      <c r="E30" s="59">
        <v>3</v>
      </c>
      <c r="F30" s="61">
        <v>35.54249482367706</v>
      </c>
      <c r="G30" s="61" cm="1">
        <f t="array" ref="G30">MIN(D30,_xlfn.XLOOKUP(YEAR($C30)&amp;"Real GDP per capita (US$)",aus_data!$A:$A&amp;aus_data!$B:$B,aus_data!$D:$D))/MAX(D30,_xlfn.XLOOKUP(YEAR($C30)&amp;"Real GDP per capita (US$)",aus_data!$A:$A&amp;aus_data!$B:$B,aus_data!$D:$D))</f>
        <v>0.98377436386403017</v>
      </c>
      <c r="H30" s="61" cm="1">
        <f t="array" ref="H30">MIN(E30,_xlfn.XLOOKUP(YEAR($C30)&amp;"# of MNOs",aus_data!$A:$A&amp;aus_data!$B:$B,aus_data!$D:$D))/MAX(E30,_xlfn.XLOOKUP(YEAR($C30)&amp;"# of MNOs",aus_data!$A:$A&amp;aus_data!$B:$B,aus_data!$D:$D))</f>
        <v>1</v>
      </c>
      <c r="I30" s="61" cm="1">
        <f t="array" ref="I30">MIN(F30,_xlfn.XLOOKUP(YEAR($C30)&amp;"Population density",aus_data!$A:$A&amp;aus_data!$B:$B,aus_data!$D:$D))/MAX(F30,_xlfn.XLOOKUP(YEAR($C30)&amp;"Population density",aus_data!$A:$A&amp;aus_data!$B:$B,aus_data!$D:$D))</f>
        <v>8.9953055616824221E-2</v>
      </c>
      <c r="J30" s="61">
        <f t="shared" si="0"/>
        <v>0.69124247316028475</v>
      </c>
    </row>
    <row r="31" spans="1:10" x14ac:dyDescent="0.25">
      <c r="D31" s="62"/>
      <c r="F31" s="61"/>
      <c r="G31" s="61"/>
      <c r="H31" s="61"/>
      <c r="I31" s="61"/>
      <c r="J31" s="61"/>
    </row>
    <row r="32" spans="1:10" x14ac:dyDescent="0.25">
      <c r="D32" s="62"/>
      <c r="F32" s="61"/>
      <c r="G32" s="61"/>
      <c r="H32" s="61"/>
      <c r="I32" s="61"/>
      <c r="J32" s="61"/>
    </row>
    <row r="33" spans="4:10" x14ac:dyDescent="0.25">
      <c r="D33" s="62"/>
      <c r="F33" s="61"/>
      <c r="G33" s="61"/>
      <c r="H33" s="61"/>
      <c r="I33" s="61"/>
      <c r="J33" s="61"/>
    </row>
    <row r="34" spans="4:10" x14ac:dyDescent="0.25">
      <c r="D34" s="62"/>
      <c r="F34" s="61"/>
      <c r="G34" s="61"/>
      <c r="H34" s="61"/>
      <c r="I34" s="61"/>
      <c r="J34" s="61"/>
    </row>
    <row r="35" spans="4:10" x14ac:dyDescent="0.25">
      <c r="D35" s="62"/>
      <c r="F35" s="61"/>
      <c r="G35" s="61"/>
      <c r="H35" s="61"/>
      <c r="I35" s="61"/>
      <c r="J35" s="61"/>
    </row>
    <row r="36" spans="4:10" x14ac:dyDescent="0.25">
      <c r="D36" s="62"/>
      <c r="F36" s="61"/>
      <c r="G36" s="61"/>
      <c r="H36" s="61"/>
      <c r="I36" s="61"/>
      <c r="J36" s="61"/>
    </row>
    <row r="37" spans="4:10" x14ac:dyDescent="0.25">
      <c r="D37" s="62"/>
      <c r="F37" s="61"/>
      <c r="G37" s="61"/>
      <c r="H37" s="61"/>
      <c r="I37" s="61"/>
      <c r="J37" s="61"/>
    </row>
    <row r="38" spans="4:10" x14ac:dyDescent="0.25">
      <c r="D38" s="62"/>
      <c r="F38" s="61"/>
      <c r="G38" s="61"/>
      <c r="H38" s="61"/>
      <c r="I38" s="61"/>
      <c r="J38" s="6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F83F5D-FEF3-4BAC-B1A4-4A42F6655B08}">
  <sheetPr>
    <tabColor theme="9" tint="0.79998168889431442"/>
  </sheetPr>
  <dimension ref="A1:I30"/>
  <sheetViews>
    <sheetView workbookViewId="0">
      <pane xSplit="3" ySplit="1" topLeftCell="D2" activePane="bottomRight" state="frozen"/>
      <selection pane="topRight" activeCell="D1" sqref="D1"/>
      <selection pane="bottomLeft" activeCell="A2" sqref="A2"/>
      <selection pane="bottomRight" activeCell="D3" sqref="D3"/>
    </sheetView>
  </sheetViews>
  <sheetFormatPr defaultColWidth="8.7109375" defaultRowHeight="15" x14ac:dyDescent="0.25"/>
  <cols>
    <col min="1" max="2" width="20.5703125" style="4" customWidth="1"/>
    <col min="3" max="3" width="17.5703125" style="10" customWidth="1"/>
    <col min="4" max="9" width="20.5703125" style="4" customWidth="1"/>
    <col min="10" max="16384" width="8.7109375" style="4"/>
  </cols>
  <sheetData>
    <row r="1" spans="1:9" ht="39.950000000000003" customHeight="1" x14ac:dyDescent="0.25">
      <c r="A1" s="12" t="s">
        <v>101</v>
      </c>
      <c r="B1" s="7" t="s">
        <v>76</v>
      </c>
      <c r="C1" s="13" t="s">
        <v>82</v>
      </c>
      <c r="D1" s="7" t="s">
        <v>120</v>
      </c>
      <c r="E1" s="7" t="s">
        <v>121</v>
      </c>
      <c r="F1" s="7" t="s">
        <v>122</v>
      </c>
      <c r="G1" s="7" t="s">
        <v>123</v>
      </c>
      <c r="H1" s="7" t="s">
        <v>124</v>
      </c>
      <c r="I1" s="7" t="s">
        <v>125</v>
      </c>
    </row>
    <row r="2" spans="1:9" x14ac:dyDescent="0.25">
      <c r="A2" s="4" t="s">
        <v>53</v>
      </c>
      <c r="B2" s="5" t="s">
        <v>27</v>
      </c>
      <c r="C2" s="10">
        <v>41395</v>
      </c>
      <c r="D2" s="61">
        <v>6.9004597054250938E-2</v>
      </c>
      <c r="E2" s="61">
        <v>6.9004597054250938E-2</v>
      </c>
      <c r="F2" s="61">
        <v>6.9004597054250938E-2</v>
      </c>
      <c r="G2" s="61">
        <v>6.9004597054250938E-2</v>
      </c>
      <c r="H2" s="61">
        <v>6.9004597054250938E-2</v>
      </c>
      <c r="I2" s="61">
        <v>6.9004597054250938E-2</v>
      </c>
    </row>
    <row r="3" spans="1:9" x14ac:dyDescent="0.25">
      <c r="A3" s="4" t="s">
        <v>53</v>
      </c>
      <c r="B3" s="5" t="s">
        <v>27</v>
      </c>
      <c r="C3" s="10">
        <v>42826</v>
      </c>
      <c r="D3" s="61">
        <v>0.19118270092233888</v>
      </c>
      <c r="E3" s="61">
        <v>0.19118270092233888</v>
      </c>
      <c r="F3" s="61">
        <v>0.19118270092233888</v>
      </c>
      <c r="G3" s="61">
        <v>0.19118270092233888</v>
      </c>
      <c r="H3" s="61">
        <v>0.19118270092233888</v>
      </c>
      <c r="I3" s="61">
        <v>0.19118270092233888</v>
      </c>
    </row>
    <row r="4" spans="1:9" x14ac:dyDescent="0.25">
      <c r="A4" s="4" t="s">
        <v>53</v>
      </c>
      <c r="B4" s="5" t="s">
        <v>164</v>
      </c>
      <c r="C4" s="10">
        <v>44531</v>
      </c>
      <c r="D4" s="61">
        <v>0.11885289889574295</v>
      </c>
      <c r="E4" s="61">
        <v>0.11885289889574295</v>
      </c>
      <c r="F4" s="61">
        <v>0.11885289889574295</v>
      </c>
      <c r="G4" s="61">
        <v>0.11885289889574295</v>
      </c>
      <c r="H4" s="61">
        <v>0.11885289889574295</v>
      </c>
      <c r="I4" s="61">
        <v>0.11885289889574295</v>
      </c>
    </row>
    <row r="5" spans="1:9" x14ac:dyDescent="0.25">
      <c r="A5" s="4" t="s">
        <v>54</v>
      </c>
      <c r="B5" s="5" t="s">
        <v>77</v>
      </c>
      <c r="C5" s="10">
        <v>44713</v>
      </c>
      <c r="D5" s="61">
        <v>4.8268719527397724E-2</v>
      </c>
      <c r="E5" s="63"/>
      <c r="F5" s="63"/>
      <c r="G5" s="61">
        <v>6.2817038467558303E-2</v>
      </c>
      <c r="H5" s="63"/>
      <c r="I5" s="63"/>
    </row>
    <row r="6" spans="1:9" x14ac:dyDescent="0.25">
      <c r="A6" s="4" t="s">
        <v>55</v>
      </c>
      <c r="B6" s="5" t="s">
        <v>78</v>
      </c>
      <c r="C6" s="10">
        <v>43556</v>
      </c>
      <c r="D6" s="61">
        <v>0.11418468947508327</v>
      </c>
      <c r="E6" s="61">
        <v>0.11418468947508327</v>
      </c>
      <c r="F6" s="61">
        <v>0.11418468947508327</v>
      </c>
      <c r="G6" s="61">
        <v>0.12619221161941738</v>
      </c>
      <c r="H6" s="61">
        <v>0.12619221161941738</v>
      </c>
      <c r="I6" s="61">
        <v>0.12619221161941738</v>
      </c>
    </row>
    <row r="7" spans="1:9" x14ac:dyDescent="0.25">
      <c r="A7" s="4" t="s">
        <v>56</v>
      </c>
      <c r="B7" s="5" t="s">
        <v>27</v>
      </c>
      <c r="C7" s="10">
        <v>44409</v>
      </c>
      <c r="D7" s="63"/>
      <c r="E7" s="61">
        <v>9.9725104765003472E-2</v>
      </c>
      <c r="F7" s="63"/>
      <c r="G7" s="63"/>
      <c r="H7" s="61">
        <v>0.21996779191384772</v>
      </c>
      <c r="I7" s="63"/>
    </row>
    <row r="8" spans="1:9" x14ac:dyDescent="0.25">
      <c r="A8" s="4" t="s">
        <v>56</v>
      </c>
      <c r="B8" s="5" t="s">
        <v>79</v>
      </c>
      <c r="C8" s="10">
        <v>44986</v>
      </c>
      <c r="D8" s="63"/>
      <c r="E8" s="61">
        <v>3.9328857601936301E-2</v>
      </c>
      <c r="F8" s="63"/>
      <c r="G8" s="63"/>
      <c r="H8" s="61">
        <v>7.7781738008785364E-2</v>
      </c>
      <c r="I8" s="63"/>
    </row>
    <row r="9" spans="1:9" x14ac:dyDescent="0.25">
      <c r="A9" s="4" t="s">
        <v>57</v>
      </c>
      <c r="B9" s="5" t="s">
        <v>27</v>
      </c>
      <c r="C9" s="10">
        <v>44136</v>
      </c>
      <c r="D9" s="63"/>
      <c r="E9" s="61">
        <v>3.9779382211890271E-2</v>
      </c>
      <c r="F9" s="63"/>
      <c r="G9" s="63"/>
      <c r="H9" s="61">
        <v>7.4842808405612443E-2</v>
      </c>
      <c r="I9" s="63"/>
    </row>
    <row r="10" spans="1:9" x14ac:dyDescent="0.25">
      <c r="A10" s="4" t="s">
        <v>58</v>
      </c>
      <c r="B10" s="5" t="s">
        <v>27</v>
      </c>
      <c r="C10" s="10">
        <v>44866</v>
      </c>
      <c r="D10" s="63"/>
      <c r="E10" s="61">
        <v>2.0632008463970345E-2</v>
      </c>
      <c r="F10" s="61">
        <v>2.0632008463970345E-2</v>
      </c>
      <c r="G10" s="63"/>
      <c r="H10" s="61">
        <v>3.3492816495873781E-2</v>
      </c>
      <c r="I10" s="61">
        <v>3.3492816495873781E-2</v>
      </c>
    </row>
    <row r="11" spans="1:9" x14ac:dyDescent="0.25">
      <c r="A11" s="4" t="s">
        <v>59</v>
      </c>
      <c r="B11" s="5" t="s">
        <v>27</v>
      </c>
      <c r="C11" s="10">
        <v>44166</v>
      </c>
      <c r="D11" s="63"/>
      <c r="E11" s="61">
        <v>4.0735552965571832E-2</v>
      </c>
      <c r="F11" s="63"/>
      <c r="G11" s="63"/>
      <c r="H11" s="61">
        <v>6.6351931771520226E-2</v>
      </c>
      <c r="I11" s="63"/>
    </row>
    <row r="12" spans="1:9" x14ac:dyDescent="0.25">
      <c r="A12" s="4" t="s">
        <v>60</v>
      </c>
      <c r="B12" s="5" t="s">
        <v>80</v>
      </c>
      <c r="C12" s="10">
        <v>43435</v>
      </c>
      <c r="D12" s="61">
        <v>2.1966172270398609E-2</v>
      </c>
      <c r="E12" s="63"/>
      <c r="F12" s="63"/>
      <c r="G12" s="61">
        <v>3.0279043354572217E-2</v>
      </c>
      <c r="H12" s="63"/>
      <c r="I12" s="63"/>
    </row>
    <row r="13" spans="1:9" x14ac:dyDescent="0.25">
      <c r="A13" s="4" t="s">
        <v>60</v>
      </c>
      <c r="B13" s="5" t="s">
        <v>27</v>
      </c>
      <c r="C13" s="10">
        <v>44470</v>
      </c>
      <c r="D13" s="61">
        <v>0.13836054425485059</v>
      </c>
      <c r="E13" s="63"/>
      <c r="F13" s="63"/>
      <c r="G13" s="61">
        <v>0.19491591259787361</v>
      </c>
      <c r="H13" s="63"/>
      <c r="I13" s="63"/>
    </row>
    <row r="14" spans="1:9" x14ac:dyDescent="0.25">
      <c r="A14" s="4" t="s">
        <v>61</v>
      </c>
      <c r="B14" s="5" t="s">
        <v>80</v>
      </c>
      <c r="C14" s="10">
        <v>44197</v>
      </c>
      <c r="D14" s="63"/>
      <c r="E14" s="63"/>
      <c r="F14" s="63"/>
      <c r="G14" s="63"/>
      <c r="H14" s="63"/>
      <c r="I14" s="63"/>
    </row>
    <row r="15" spans="1:9" x14ac:dyDescent="0.25">
      <c r="A15" s="4" t="s">
        <v>62</v>
      </c>
      <c r="B15" s="5" t="s">
        <v>81</v>
      </c>
      <c r="C15" s="10">
        <v>42887</v>
      </c>
      <c r="D15" s="61">
        <v>4.6175805771066008E-3</v>
      </c>
      <c r="E15" s="61">
        <v>4.6175805771066008E-3</v>
      </c>
      <c r="F15" s="61">
        <v>4.6175805771066008E-3</v>
      </c>
      <c r="G15" s="61">
        <v>4.0402589227285755E-3</v>
      </c>
      <c r="H15" s="61">
        <v>4.0402589227285755E-3</v>
      </c>
      <c r="I15" s="61">
        <v>4.0402589227285755E-3</v>
      </c>
    </row>
    <row r="16" spans="1:9" x14ac:dyDescent="0.25">
      <c r="A16" s="4" t="s">
        <v>63</v>
      </c>
      <c r="B16" s="5" t="s">
        <v>27</v>
      </c>
      <c r="C16" s="10">
        <v>43374</v>
      </c>
      <c r="D16" s="63"/>
      <c r="E16" s="63"/>
      <c r="F16" s="63"/>
      <c r="G16" s="63"/>
      <c r="H16" s="63"/>
      <c r="I16" s="63"/>
    </row>
    <row r="17" spans="1:9" x14ac:dyDescent="0.25">
      <c r="A17" s="4" t="s">
        <v>64</v>
      </c>
      <c r="B17" s="5" t="s">
        <v>27</v>
      </c>
      <c r="C17" s="10">
        <v>44774</v>
      </c>
      <c r="D17" s="63"/>
      <c r="E17" s="61">
        <v>3.9331270705447612E-2</v>
      </c>
      <c r="F17" s="63"/>
      <c r="G17" s="63"/>
      <c r="H17" s="61">
        <v>7.6137909823428926E-2</v>
      </c>
      <c r="I17" s="63"/>
    </row>
    <row r="18" spans="1:9" x14ac:dyDescent="0.25">
      <c r="A18" s="4" t="s">
        <v>65</v>
      </c>
      <c r="B18" s="5" t="s">
        <v>27</v>
      </c>
      <c r="C18" s="10">
        <v>44044</v>
      </c>
      <c r="D18" s="63"/>
      <c r="E18" s="61">
        <v>0.19183145095100362</v>
      </c>
      <c r="F18" s="63"/>
      <c r="G18" s="63"/>
      <c r="H18" s="61">
        <v>0.19767570488445071</v>
      </c>
      <c r="I18" s="63"/>
    </row>
    <row r="19" spans="1:9" x14ac:dyDescent="0.25">
      <c r="A19" s="4" t="s">
        <v>66</v>
      </c>
      <c r="B19" s="5" t="s">
        <v>80</v>
      </c>
      <c r="C19" s="10">
        <v>42856</v>
      </c>
      <c r="D19" s="61">
        <v>4.2430900121304606E-2</v>
      </c>
      <c r="E19" s="61">
        <v>4.2430900121304606E-2</v>
      </c>
      <c r="F19" s="61">
        <v>4.2430900121304606E-2</v>
      </c>
      <c r="G19" s="61">
        <v>4.0765361744018354E-2</v>
      </c>
      <c r="H19" s="61">
        <v>4.0765361744018354E-2</v>
      </c>
      <c r="I19" s="61">
        <v>4.0765361744018354E-2</v>
      </c>
    </row>
    <row r="20" spans="1:9" x14ac:dyDescent="0.25">
      <c r="A20" s="4" t="s">
        <v>67</v>
      </c>
      <c r="B20" s="5" t="s">
        <v>77</v>
      </c>
      <c r="C20" s="10">
        <v>44470</v>
      </c>
      <c r="D20" s="63"/>
      <c r="E20" s="61">
        <v>3.2675847731446356E-2</v>
      </c>
      <c r="F20" s="63"/>
      <c r="G20" s="63"/>
      <c r="H20" s="61">
        <v>5.4626828378099783E-2</v>
      </c>
      <c r="I20" s="63"/>
    </row>
    <row r="21" spans="1:9" x14ac:dyDescent="0.25">
      <c r="A21" s="4" t="s">
        <v>68</v>
      </c>
      <c r="B21" s="5" t="s">
        <v>27</v>
      </c>
      <c r="C21" s="10">
        <v>42826</v>
      </c>
      <c r="D21" s="61">
        <v>0.11741663159113117</v>
      </c>
      <c r="E21" s="63"/>
      <c r="F21" s="63"/>
      <c r="G21" s="61">
        <v>0.20789617012727662</v>
      </c>
      <c r="H21" s="63"/>
      <c r="I21" s="63"/>
    </row>
    <row r="22" spans="1:9" x14ac:dyDescent="0.25">
      <c r="A22" s="4" t="s">
        <v>68</v>
      </c>
      <c r="B22" s="5" t="s">
        <v>80</v>
      </c>
      <c r="C22" s="10">
        <v>42826</v>
      </c>
      <c r="D22" s="61">
        <v>5.8062680376064914E-2</v>
      </c>
      <c r="E22" s="63"/>
      <c r="F22" s="63"/>
      <c r="G22" s="61">
        <v>0.10280493243531129</v>
      </c>
      <c r="H22" s="63"/>
      <c r="I22" s="63"/>
    </row>
    <row r="23" spans="1:9" x14ac:dyDescent="0.25">
      <c r="A23" s="4" t="s">
        <v>69</v>
      </c>
      <c r="B23" s="5" t="s">
        <v>27</v>
      </c>
      <c r="C23" s="10">
        <v>44136</v>
      </c>
      <c r="D23" s="63"/>
      <c r="E23" s="63"/>
      <c r="F23" s="63"/>
      <c r="G23" s="63"/>
      <c r="H23" s="63"/>
      <c r="I23" s="63"/>
    </row>
    <row r="24" spans="1:9" x14ac:dyDescent="0.25">
      <c r="A24" s="4" t="s">
        <v>70</v>
      </c>
      <c r="B24" s="5" t="s">
        <v>27</v>
      </c>
      <c r="C24" s="10">
        <v>44287</v>
      </c>
      <c r="D24" s="63"/>
      <c r="E24" s="63"/>
      <c r="F24" s="63"/>
      <c r="G24" s="63"/>
      <c r="H24" s="63"/>
      <c r="I24" s="63"/>
    </row>
    <row r="25" spans="1:9" x14ac:dyDescent="0.25">
      <c r="A25" s="4" t="s">
        <v>71</v>
      </c>
      <c r="B25" s="5" t="s">
        <v>27</v>
      </c>
      <c r="C25" s="10">
        <v>44378</v>
      </c>
      <c r="D25" s="63"/>
      <c r="E25" s="63"/>
      <c r="F25" s="63"/>
      <c r="G25" s="63"/>
      <c r="H25" s="63"/>
      <c r="I25" s="63"/>
    </row>
    <row r="26" spans="1:9" x14ac:dyDescent="0.25">
      <c r="A26" s="4" t="s">
        <v>72</v>
      </c>
      <c r="B26" s="5" t="s">
        <v>27</v>
      </c>
      <c r="C26" s="10">
        <v>43435</v>
      </c>
      <c r="D26" s="61">
        <v>7.6940526102519433E-2</v>
      </c>
      <c r="E26" s="61">
        <v>7.6940526102519433E-2</v>
      </c>
      <c r="F26" s="61">
        <v>7.6940526102519433E-2</v>
      </c>
      <c r="G26" s="61">
        <v>8.2875350836705802E-2</v>
      </c>
      <c r="H26" s="61">
        <v>8.2875350836705802E-2</v>
      </c>
      <c r="I26" s="61">
        <v>8.2875350836705802E-2</v>
      </c>
    </row>
    <row r="27" spans="1:9" x14ac:dyDescent="0.25">
      <c r="A27" s="4" t="s">
        <v>72</v>
      </c>
      <c r="B27" s="5" t="s">
        <v>80</v>
      </c>
      <c r="C27" s="10">
        <v>45170</v>
      </c>
      <c r="D27" s="61">
        <v>4.0621265281020648E-2</v>
      </c>
      <c r="E27" s="61">
        <v>4.0621265281020648E-2</v>
      </c>
      <c r="F27" s="61">
        <v>4.0621265281020648E-2</v>
      </c>
      <c r="G27" s="61">
        <v>4.6812089599022472E-2</v>
      </c>
      <c r="H27" s="61">
        <v>4.6812089599022472E-2</v>
      </c>
      <c r="I27" s="61">
        <v>4.6812089599022472E-2</v>
      </c>
    </row>
    <row r="28" spans="1:9" x14ac:dyDescent="0.25">
      <c r="A28" s="4" t="s">
        <v>73</v>
      </c>
      <c r="B28" s="5" t="s">
        <v>27</v>
      </c>
      <c r="C28" s="10">
        <v>43862</v>
      </c>
      <c r="D28" s="63"/>
      <c r="E28" s="61">
        <v>0.10848441331114346</v>
      </c>
      <c r="F28" s="63"/>
      <c r="G28" s="63"/>
      <c r="H28" s="61">
        <v>0.2931158148211096</v>
      </c>
      <c r="I28" s="63"/>
    </row>
    <row r="29" spans="1:9" x14ac:dyDescent="0.25">
      <c r="A29" s="4" t="s">
        <v>74</v>
      </c>
      <c r="B29" s="5" t="s">
        <v>27</v>
      </c>
      <c r="C29" s="10">
        <v>44256</v>
      </c>
      <c r="D29" s="61">
        <v>3.5063016497764402E-2</v>
      </c>
      <c r="E29" s="63"/>
      <c r="F29" s="63"/>
      <c r="G29" s="61">
        <v>4.206823173868756E-2</v>
      </c>
      <c r="H29" s="63"/>
      <c r="I29" s="63"/>
    </row>
    <row r="30" spans="1:9" x14ac:dyDescent="0.25">
      <c r="A30" s="4" t="s">
        <v>75</v>
      </c>
      <c r="B30" s="5" t="s">
        <v>78</v>
      </c>
      <c r="C30" s="10">
        <v>42795</v>
      </c>
      <c r="D30" s="61">
        <v>9.8810658087836803E-2</v>
      </c>
      <c r="E30" s="61">
        <v>9.8810658087836803E-2</v>
      </c>
      <c r="F30" s="63"/>
      <c r="G30" s="61">
        <v>0.11189659362533698</v>
      </c>
      <c r="H30" s="61">
        <v>0.11189659362533698</v>
      </c>
      <c r="I30" s="63"/>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388BE-2523-4101-BD12-22A84B4CA8EA}">
  <sheetPr>
    <tabColor theme="9" tint="0.79998168889431442"/>
  </sheetPr>
  <dimension ref="A1:H6"/>
  <sheetViews>
    <sheetView workbookViewId="0">
      <pane xSplit="2" ySplit="1" topLeftCell="C2" activePane="bottomRight" state="frozen"/>
      <selection pane="topRight" activeCell="C1" sqref="C1"/>
      <selection pane="bottomLeft" activeCell="A2" sqref="A2"/>
      <selection pane="bottomRight" activeCell="C2" sqref="C2"/>
    </sheetView>
  </sheetViews>
  <sheetFormatPr defaultRowHeight="15" x14ac:dyDescent="0.25"/>
  <cols>
    <col min="1" max="1" width="15.5703125" customWidth="1"/>
    <col min="2" max="2" width="10.5703125" style="32" customWidth="1"/>
    <col min="3" max="8" width="20.5703125" customWidth="1"/>
  </cols>
  <sheetData>
    <row r="1" spans="1:8" ht="39.950000000000003" customHeight="1" x14ac:dyDescent="0.25">
      <c r="A1" s="12" t="s">
        <v>126</v>
      </c>
      <c r="B1" s="14" t="s">
        <v>182</v>
      </c>
      <c r="C1" s="7" t="s">
        <v>120</v>
      </c>
      <c r="D1" s="7" t="s">
        <v>121</v>
      </c>
      <c r="E1" s="7" t="s">
        <v>122</v>
      </c>
      <c r="F1" s="7" t="s">
        <v>123</v>
      </c>
      <c r="G1" s="7" t="s">
        <v>124</v>
      </c>
      <c r="H1" s="7" t="s">
        <v>125</v>
      </c>
    </row>
    <row r="2" spans="1:8" x14ac:dyDescent="0.25">
      <c r="A2" s="1" t="s">
        <v>127</v>
      </c>
      <c r="B2" s="42">
        <v>0</v>
      </c>
      <c r="C2" s="15" cm="1">
        <f t="array" ref="C2">_xlfn.PERCENTILE.INC(IF(ISNUMBER(S6A_cohort_data!D:D),S6A_cohort_data!D:D),$B2)</f>
        <v>4.6175805771066008E-3</v>
      </c>
      <c r="D2" s="15" cm="1">
        <f t="array" ref="D2">_xlfn.PERCENTILE.INC(IF(ISNUMBER(S6A_cohort_data!E:E),S6A_cohort_data!E:E),$B2)</f>
        <v>4.6175805771066008E-3</v>
      </c>
      <c r="E2" s="15" cm="1">
        <f t="array" ref="E2">_xlfn.PERCENTILE.INC(IF(ISNUMBER(S6A_cohort_data!F:F),S6A_cohort_data!F:F),$B2)</f>
        <v>4.6175805771066008E-3</v>
      </c>
      <c r="F2" s="15" cm="1">
        <f t="array" ref="F2">_xlfn.PERCENTILE.INC(IF(ISNUMBER(S6A_cohort_data!G:G),S6A_cohort_data!G:G),$B2)</f>
        <v>4.0402589227285755E-3</v>
      </c>
      <c r="G2" s="15" cm="1">
        <f t="array" ref="G2">_xlfn.PERCENTILE.INC(IF(ISNUMBER(S6A_cohort_data!H:H),S6A_cohort_data!H:H),$B2)</f>
        <v>4.0402589227285755E-3</v>
      </c>
      <c r="H2" s="15" cm="1">
        <f t="array" ref="H2">_xlfn.PERCENTILE.INC(IF(ISNUMBER(S6A_cohort_data!I:I),S6A_cohort_data!I:I),$B2)</f>
        <v>4.0402589227285755E-3</v>
      </c>
    </row>
    <row r="3" spans="1:8" x14ac:dyDescent="0.25">
      <c r="A3" s="33" t="s">
        <v>25</v>
      </c>
      <c r="B3" s="31">
        <f>percentiles!$C$2</f>
        <v>0.35</v>
      </c>
      <c r="C3" s="15" cm="1">
        <f t="array" ref="C3">_xlfn.PERCENTILE.INC(IF(ISNUMBER(S6A_cohort_data!D:D),S6A_cohort_data!D:D),$B3)</f>
        <v>4.7684937586788406E-2</v>
      </c>
      <c r="D3" s="15" cm="1">
        <f t="array" ref="D3">_xlfn.PERCENTILE.INC(IF(ISNUMBER(S6A_cohort_data!E:E),S6A_cohort_data!E:E),$B3)</f>
        <v>4.057917112756413E-2</v>
      </c>
      <c r="E3" s="15" cm="1">
        <f t="array" ref="E3">_xlfn.PERCENTILE.INC(IF(ISNUMBER(S6A_cohort_data!F:F),S6A_cohort_data!F:F),$B3)</f>
        <v>4.2068973153247813E-2</v>
      </c>
      <c r="F3" s="15" cm="1">
        <f t="array" ref="F3">_xlfn.PERCENTILE.INC(IF(ISNUMBER(S6A_cohort_data!G:G),S6A_cohort_data!G:G),$B3)</f>
        <v>6.1216543580704712E-2</v>
      </c>
      <c r="G3" s="15" cm="1">
        <f t="array" ref="G3">_xlfn.PERCENTILE.INC(IF(ISNUMBER(S6A_cohort_data!H:H),S6A_cohort_data!H:H),$B3)</f>
        <v>6.8871963790114399E-2</v>
      </c>
      <c r="H3" s="15" cm="1">
        <f t="array" ref="H3">_xlfn.PERCENTILE.INC(IF(ISNUMBER(S6A_cohort_data!I:I),S6A_cohort_data!I:I),$B3)</f>
        <v>4.5602744028021648E-2</v>
      </c>
    </row>
    <row r="4" spans="1:8" x14ac:dyDescent="0.25">
      <c r="A4" s="34" t="s">
        <v>128</v>
      </c>
      <c r="B4" s="5">
        <v>0.5</v>
      </c>
      <c r="C4" s="15" cm="1">
        <f t="array" ref="C4">_xlfn.PERCENTILE.INC(IF(ISNUMBER(S6A_cohort_data!D:D),S6A_cohort_data!D:D),$B4)</f>
        <v>6.9004597054250938E-2</v>
      </c>
      <c r="D4" s="15" cm="1">
        <f t="array" ref="D4">_xlfn.PERCENTILE.INC(IF(ISNUMBER(S6A_cohort_data!E:E),S6A_cohort_data!E:E),$B4)</f>
        <v>5.5717748587777768E-2</v>
      </c>
      <c r="E4" s="15" cm="1">
        <f t="array" ref="E4">_xlfn.PERCENTILE.INC(IF(ISNUMBER(S6A_cohort_data!F:F),S6A_cohort_data!F:F),$B4)</f>
        <v>6.9004597054250938E-2</v>
      </c>
      <c r="F4" s="15" cm="1">
        <f t="array" ref="F4">_xlfn.PERCENTILE.INC(IF(ISNUMBER(S6A_cohort_data!G:G),S6A_cohort_data!G:G),$B4)</f>
        <v>8.2875350836705802E-2</v>
      </c>
      <c r="G4" s="15" cm="1">
        <f t="array" ref="G4">_xlfn.PERCENTILE.INC(IF(ISNUMBER(S6A_cohort_data!H:H),S6A_cohort_data!H:H),$B4)</f>
        <v>7.6959823916107145E-2</v>
      </c>
      <c r="H4" s="15" cm="1">
        <f t="array" ref="H4">_xlfn.PERCENTILE.INC(IF(ISNUMBER(S6A_cohort_data!I:I),S6A_cohort_data!I:I),$B4)</f>
        <v>6.9004597054250938E-2</v>
      </c>
    </row>
    <row r="5" spans="1:8" x14ac:dyDescent="0.25">
      <c r="A5" s="33" t="s">
        <v>26</v>
      </c>
      <c r="B5" s="31">
        <f>percentiles!$C$3</f>
        <v>0.65</v>
      </c>
      <c r="C5" s="15" cm="1">
        <f t="array" ref="C5">_xlfn.PERCENTILE.INC(IF(ISNUMBER(S6A_cohort_data!D:D),S6A_cohort_data!D:D),$B5)</f>
        <v>0.10034806122656144</v>
      </c>
      <c r="D5" s="15" cm="1">
        <f t="array" ref="D5">_xlfn.PERCENTILE.INC(IF(ISNUMBER(S6A_cohort_data!E:E),S6A_cohort_data!E:E),$B5)</f>
        <v>9.8856380421695131E-2</v>
      </c>
      <c r="E5" s="15" cm="1">
        <f t="array" ref="E5">_xlfn.PERCENTILE.INC(IF(ISNUMBER(S6A_cohort_data!F:F),S6A_cohort_data!F:F),$B5)</f>
        <v>8.4389358777032214E-2</v>
      </c>
      <c r="F5" s="15" cm="1">
        <f t="array" ref="F5">_xlfn.PERCENTILE.INC(IF(ISNUMBER(S6A_cohort_data!G:G),S6A_cohort_data!G:G),$B5)</f>
        <v>0.11259222415237757</v>
      </c>
      <c r="G5" s="15" cm="1">
        <f t="array" ref="G5">_xlfn.PERCENTILE.INC(IF(ISNUMBER(S6A_cohort_data!H:H),S6A_cohort_data!H:H),$B5)</f>
        <v>0.11224440888885728</v>
      </c>
      <c r="H5" s="15" cm="1">
        <f t="array" ref="H5">_xlfn.PERCENTILE.INC(IF(ISNUMBER(S6A_cohort_data!I:I),S6A_cohort_data!I:I),$B5)</f>
        <v>9.0070860448513243E-2</v>
      </c>
    </row>
    <row r="6" spans="1:8" x14ac:dyDescent="0.25">
      <c r="A6" s="33" t="s">
        <v>129</v>
      </c>
      <c r="B6" s="31">
        <v>1</v>
      </c>
      <c r="C6" s="15" cm="1">
        <f t="array" ref="C6">_xlfn.PERCENTILE.INC(IF(ISNUMBER(S6A_cohort_data!D:D),S6A_cohort_data!D:D),$B6)</f>
        <v>0.19118270092233888</v>
      </c>
      <c r="D6" s="15" cm="1">
        <f t="array" ref="D6">_xlfn.PERCENTILE.INC(IF(ISNUMBER(S6A_cohort_data!E:E),S6A_cohort_data!E:E),$B6)</f>
        <v>0.19183145095100362</v>
      </c>
      <c r="E6" s="15" cm="1">
        <f t="array" ref="E6">_xlfn.PERCENTILE.INC(IF(ISNUMBER(S6A_cohort_data!F:F),S6A_cohort_data!F:F),$B6)</f>
        <v>0.19118270092233888</v>
      </c>
      <c r="F6" s="15" cm="1">
        <f t="array" ref="F6">_xlfn.PERCENTILE.INC(IF(ISNUMBER(S6A_cohort_data!G:G),S6A_cohort_data!G:G),$B6)</f>
        <v>0.20789617012727662</v>
      </c>
      <c r="G6" s="15" cm="1">
        <f t="array" ref="G6">_xlfn.PERCENTILE.INC(IF(ISNUMBER(S6A_cohort_data!H:H),S6A_cohort_data!H:H),$B6)</f>
        <v>0.2931158148211096</v>
      </c>
      <c r="H6" s="15" cm="1">
        <f t="array" ref="H6">_xlfn.PERCENTILE.INC(IF(ISNUMBER(S6A_cohort_data!I:I),S6A_cohort_data!I:I),$B6)</f>
        <v>0.19118270092233888</v>
      </c>
    </row>
  </sheetData>
  <sheetProtection algorithmName="SHA-512" hashValue="RXWlVChjebQz+XxjSqkvQJW8GsKNKPC+5ZBT56y5akLI+/yh6sccs90GNkPHxcEgp8PP3wm7IrhipI2FP7jlEQ==" saltValue="oDA4pOdnna0QvzB+TI34Eg=="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AACC34-9C2E-40F8-9B4B-1E64F75BBD16}">
  <sheetPr>
    <tabColor theme="9" tint="0.79998168889431442"/>
  </sheetPr>
  <dimension ref="A1:O31"/>
  <sheetViews>
    <sheetView workbookViewId="0">
      <pane xSplit="3" ySplit="1" topLeftCell="D2" activePane="bottomRight" state="frozen"/>
      <selection pane="topRight" activeCell="D1" sqref="D1"/>
      <selection pane="bottomLeft" activeCell="A2" sqref="A2"/>
      <selection pane="bottomRight" activeCell="N17" sqref="N17"/>
    </sheetView>
  </sheetViews>
  <sheetFormatPr defaultRowHeight="15" x14ac:dyDescent="0.25"/>
  <cols>
    <col min="1" max="1" width="20.5703125" customWidth="1"/>
    <col min="2" max="2" width="20.5703125" style="32" customWidth="1"/>
    <col min="3" max="3" width="17.5703125" customWidth="1"/>
    <col min="4" max="4" width="13.85546875" customWidth="1"/>
    <col min="5" max="5" width="11.5703125" customWidth="1"/>
    <col min="6" max="7" width="18" customWidth="1"/>
    <col min="8" max="8" width="15.140625" customWidth="1"/>
    <col min="9" max="10" width="16.42578125" customWidth="1"/>
    <col min="11" max="11" width="21.5703125" customWidth="1"/>
    <col min="12" max="12" width="15.42578125" customWidth="1"/>
    <col min="13" max="14" width="16.42578125" customWidth="1"/>
    <col min="15" max="15" width="21.140625" customWidth="1"/>
  </cols>
  <sheetData>
    <row r="1" spans="1:15" s="9" customFormat="1" ht="39.950000000000003" customHeight="1" x14ac:dyDescent="0.25">
      <c r="A1" s="12" t="s">
        <v>101</v>
      </c>
      <c r="B1" s="7" t="s">
        <v>76</v>
      </c>
      <c r="C1" s="14" t="s">
        <v>82</v>
      </c>
      <c r="D1" s="7" t="s">
        <v>119</v>
      </c>
      <c r="E1" s="14" t="s">
        <v>130</v>
      </c>
      <c r="F1" s="7" t="s">
        <v>131</v>
      </c>
      <c r="G1" s="7" t="s">
        <v>132</v>
      </c>
      <c r="H1" s="7" t="s">
        <v>133</v>
      </c>
      <c r="I1" s="7" t="s">
        <v>135</v>
      </c>
      <c r="J1" s="7" t="s">
        <v>136</v>
      </c>
      <c r="K1" s="7" t="s">
        <v>139</v>
      </c>
      <c r="L1" s="7" t="s">
        <v>134</v>
      </c>
      <c r="M1" s="7" t="s">
        <v>137</v>
      </c>
      <c r="N1" s="7" t="s">
        <v>138</v>
      </c>
      <c r="O1" s="7" t="s">
        <v>140</v>
      </c>
    </row>
    <row r="2" spans="1:15" x14ac:dyDescent="0.25">
      <c r="A2" s="4" t="s">
        <v>53</v>
      </c>
      <c r="B2" s="5" t="s">
        <v>27</v>
      </c>
      <c r="C2" s="10">
        <v>41395</v>
      </c>
      <c r="D2" s="15">
        <v>1</v>
      </c>
      <c r="E2" s="15">
        <f>D2/SUM($D:$D)</f>
        <v>5.9798822333463876E-2</v>
      </c>
      <c r="F2" s="15">
        <v>6.9004597054250938E-2</v>
      </c>
      <c r="G2" s="15">
        <v>6.9004597054250938E-2</v>
      </c>
      <c r="H2" s="4">
        <v>18</v>
      </c>
      <c r="I2" s="15">
        <f t="shared" ref="I2:I30" si="0">SUMIFS($E:$E,$H:$H,"&lt;"&amp;H2)</f>
        <v>0.51793031307560078</v>
      </c>
      <c r="J2" s="15">
        <f t="shared" ref="J2:J30" si="1">I2+E2</f>
        <v>0.57772913540906468</v>
      </c>
      <c r="K2" s="5" t="str">
        <f>IF(AND(percentiles!$C$2&gt;S6B_num_weighting!I2,percentiles!$C$2&lt;S6B_num_weighting!J2),"lower",IF(AND(percentiles!$C$3&gt;S6B_num_weighting!I2,percentiles!$C$3&lt;S6B_num_weighting!J2),"upper","n/a"))</f>
        <v>n/a</v>
      </c>
      <c r="L2" s="4">
        <v>11</v>
      </c>
      <c r="M2" s="15">
        <f t="shared" ref="M2:M30" si="2">SUMIFS($E:$E,$L:$L,"&lt;"&amp;L2)</f>
        <v>0.335455089108531</v>
      </c>
      <c r="N2" s="15">
        <f t="shared" ref="N2:N30" si="3">M2+E2</f>
        <v>0.3952539114419949</v>
      </c>
      <c r="O2" s="5" t="str">
        <f>IF(AND(percentiles!$C$2&gt;S6B_num_weighting!M2,percentiles!$C$2&lt;S6B_num_weighting!N2),"lower",IF(AND(percentiles!$C$3&gt;S6B_num_weighting!M2,percentiles!$C$3&lt;S6B_num_weighting!N2),"upper","n/a"))</f>
        <v>lower</v>
      </c>
    </row>
    <row r="3" spans="1:15" x14ac:dyDescent="0.25">
      <c r="A3" s="4" t="s">
        <v>53</v>
      </c>
      <c r="B3" s="5" t="s">
        <v>27</v>
      </c>
      <c r="C3" s="10">
        <v>42826</v>
      </c>
      <c r="D3" s="15">
        <v>1</v>
      </c>
      <c r="E3" s="15">
        <f t="shared" ref="E3:E30" si="4">D3/SUM($D:$D)</f>
        <v>5.9798822333463876E-2</v>
      </c>
      <c r="F3" s="15">
        <v>0.19118270092233888</v>
      </c>
      <c r="G3" s="15">
        <v>0.19118270092233888</v>
      </c>
      <c r="H3" s="4">
        <v>28</v>
      </c>
      <c r="I3" s="15">
        <f t="shared" si="0"/>
        <v>0.90892051312906519</v>
      </c>
      <c r="J3" s="15">
        <f t="shared" si="1"/>
        <v>0.96871933546252909</v>
      </c>
      <c r="K3" s="5" t="str">
        <f>IF(AND(percentiles!$C$2&gt;S6B_num_weighting!I3,percentiles!$C$2&lt;S6B_num_weighting!J3),"lower",IF(AND(percentiles!$C$3&gt;S6B_num_weighting!I3,percentiles!$C$3&lt;S6B_num_weighting!J3),"upper","n/a"))</f>
        <v>n/a</v>
      </c>
      <c r="L3" s="4">
        <v>24</v>
      </c>
      <c r="M3" s="15">
        <f t="shared" si="2"/>
        <v>0.79610826557277703</v>
      </c>
      <c r="N3" s="15">
        <f t="shared" si="3"/>
        <v>0.85590708790624093</v>
      </c>
      <c r="O3" s="5" t="str">
        <f>IF(AND(percentiles!$C$2&gt;S6B_num_weighting!M3,percentiles!$C$2&lt;S6B_num_weighting!N3),"lower",IF(AND(percentiles!$C$3&gt;S6B_num_weighting!M3,percentiles!$C$3&lt;S6B_num_weighting!N3),"upper","n/a"))</f>
        <v>n/a</v>
      </c>
    </row>
    <row r="4" spans="1:15" x14ac:dyDescent="0.25">
      <c r="A4" s="4" t="s">
        <v>53</v>
      </c>
      <c r="B4" s="5" t="s">
        <v>164</v>
      </c>
      <c r="C4" s="10">
        <v>44531</v>
      </c>
      <c r="D4" s="15">
        <v>1</v>
      </c>
      <c r="E4" s="15">
        <f t="shared" si="4"/>
        <v>5.9798822333463876E-2</v>
      </c>
      <c r="F4" s="15">
        <v>0.11885289889574295</v>
      </c>
      <c r="G4" s="15">
        <v>0.11885289889574295</v>
      </c>
      <c r="H4" s="4">
        <v>26</v>
      </c>
      <c r="I4" s="15">
        <f t="shared" si="0"/>
        <v>0.81918811454638152</v>
      </c>
      <c r="J4" s="15">
        <f t="shared" si="1"/>
        <v>0.87898693687984542</v>
      </c>
      <c r="K4" s="5" t="str">
        <f>IF(AND(percentiles!$C$2&gt;S6B_num_weighting!I4,percentiles!$C$2&lt;S6B_num_weighting!J4),"lower",IF(AND(percentiles!$C$3&gt;S6B_num_weighting!I4,percentiles!$C$3&lt;S6B_num_weighting!J4),"upper","n/a"))</f>
        <v>n/a</v>
      </c>
      <c r="L4" s="4">
        <v>21</v>
      </c>
      <c r="M4" s="15">
        <f t="shared" si="2"/>
        <v>0.66467856677482806</v>
      </c>
      <c r="N4" s="15">
        <f t="shared" si="3"/>
        <v>0.72447738910829196</v>
      </c>
      <c r="O4" s="5" t="str">
        <f>IF(AND(percentiles!$C$2&gt;S6B_num_weighting!M4,percentiles!$C$2&lt;S6B_num_weighting!N4),"lower",IF(AND(percentiles!$C$3&gt;S6B_num_weighting!M4,percentiles!$C$3&lt;S6B_num_weighting!N4),"upper","n/a"))</f>
        <v>n/a</v>
      </c>
    </row>
    <row r="5" spans="1:15" x14ac:dyDescent="0.25">
      <c r="A5" s="4" t="s">
        <v>54</v>
      </c>
      <c r="B5" s="5" t="s">
        <v>77</v>
      </c>
      <c r="C5" s="10">
        <v>44713</v>
      </c>
      <c r="D5" s="15">
        <v>0.49653011175009393</v>
      </c>
      <c r="E5" s="15">
        <f t="shared" si="4"/>
        <v>2.9691915935758831E-2</v>
      </c>
      <c r="F5" s="15">
        <v>4.8268719527397724E-2</v>
      </c>
      <c r="G5" s="15">
        <v>6.2817038467558303E-2</v>
      </c>
      <c r="H5" s="4">
        <v>14</v>
      </c>
      <c r="I5" s="15">
        <f t="shared" si="0"/>
        <v>0.40847450309445804</v>
      </c>
      <c r="J5" s="15">
        <f t="shared" si="1"/>
        <v>0.43816641903021686</v>
      </c>
      <c r="K5" s="5" t="str">
        <f>IF(AND(percentiles!$C$2&gt;S6B_num_weighting!I5,percentiles!$C$2&lt;S6B_num_weighting!J5),"lower",IF(AND(percentiles!$C$3&gt;S6B_num_weighting!I5,percentiles!$C$3&lt;S6B_num_weighting!J5),"upper","n/a"))</f>
        <v>n/a</v>
      </c>
      <c r="L5" s="4">
        <v>9</v>
      </c>
      <c r="M5" s="15">
        <f t="shared" si="2"/>
        <v>0.27903338223810248</v>
      </c>
      <c r="N5" s="15">
        <f t="shared" si="3"/>
        <v>0.3087252981738613</v>
      </c>
      <c r="O5" s="5" t="str">
        <f>IF(AND(percentiles!$C$2&gt;S6B_num_weighting!M5,percentiles!$C$2&lt;S6B_num_weighting!N5),"lower",IF(AND(percentiles!$C$3&gt;S6B_num_weighting!M5,percentiles!$C$3&lt;S6B_num_weighting!N5),"upper","n/a"))</f>
        <v>n/a</v>
      </c>
    </row>
    <row r="6" spans="1:15" x14ac:dyDescent="0.25">
      <c r="A6" s="4" t="s">
        <v>55</v>
      </c>
      <c r="B6" s="5" t="s">
        <v>78</v>
      </c>
      <c r="C6" s="10">
        <v>43556</v>
      </c>
      <c r="D6" s="15">
        <v>0.85012053208512628</v>
      </c>
      <c r="E6" s="15">
        <f t="shared" si="4"/>
        <v>5.0836206660188239E-2</v>
      </c>
      <c r="F6" s="15">
        <v>0.11418468947508327</v>
      </c>
      <c r="G6" s="15">
        <v>0.12619221161941738</v>
      </c>
      <c r="H6" s="4">
        <v>24</v>
      </c>
      <c r="I6" s="15">
        <f t="shared" si="0"/>
        <v>0.7340194318879828</v>
      </c>
      <c r="J6" s="15">
        <f t="shared" si="1"/>
        <v>0.78485563854817109</v>
      </c>
      <c r="K6" s="5" t="str">
        <f>IF(AND(percentiles!$C$2&gt;S6B_num_weighting!I6,percentiles!$C$2&lt;S6B_num_weighting!J6),"lower",IF(AND(percentiles!$C$3&gt;S6B_num_weighting!I6,percentiles!$C$3&lt;S6B_num_weighting!J6),"upper","n/a"))</f>
        <v>n/a</v>
      </c>
      <c r="L6" s="4">
        <v>22</v>
      </c>
      <c r="M6" s="15">
        <f t="shared" si="2"/>
        <v>0.72447738910829196</v>
      </c>
      <c r="N6" s="15">
        <f t="shared" si="3"/>
        <v>0.77531359576848025</v>
      </c>
      <c r="O6" s="5" t="str">
        <f>IF(AND(percentiles!$C$2&gt;S6B_num_weighting!M6,percentiles!$C$2&lt;S6B_num_weighting!N6),"lower",IF(AND(percentiles!$C$3&gt;S6B_num_weighting!M6,percentiles!$C$3&lt;S6B_num_weighting!N6),"upper","n/a"))</f>
        <v>n/a</v>
      </c>
    </row>
    <row r="7" spans="1:15" x14ac:dyDescent="0.25">
      <c r="A7" s="4" t="s">
        <v>56</v>
      </c>
      <c r="B7" s="5" t="s">
        <v>27</v>
      </c>
      <c r="C7" s="10">
        <v>44409</v>
      </c>
      <c r="D7" s="15">
        <v>0.43595979938631269</v>
      </c>
      <c r="E7" s="15">
        <f t="shared" si="4"/>
        <v>2.6069882588034665E-2</v>
      </c>
      <c r="F7" s="15">
        <v>9.9725104765003472E-2</v>
      </c>
      <c r="G7" s="15">
        <v>0.21996779191384772</v>
      </c>
      <c r="H7" s="4">
        <v>22</v>
      </c>
      <c r="I7" s="15">
        <f t="shared" si="0"/>
        <v>0.68547323657912496</v>
      </c>
      <c r="J7" s="15">
        <f t="shared" si="1"/>
        <v>0.71154311916715962</v>
      </c>
      <c r="K7" s="5" t="str">
        <f>IF(AND(percentiles!$C$2&gt;S6B_num_weighting!I7,percentiles!$C$2&lt;S6B_num_weighting!J7),"lower",IF(AND(percentiles!$C$3&gt;S6B_num_weighting!I7,percentiles!$C$3&lt;S6B_num_weighting!J7),"upper","n/a"))</f>
        <v>n/a</v>
      </c>
      <c r="L7" s="4">
        <v>28</v>
      </c>
      <c r="M7" s="15">
        <f t="shared" si="2"/>
        <v>0.95145380469114216</v>
      </c>
      <c r="N7" s="15">
        <f t="shared" si="3"/>
        <v>0.97752368727917682</v>
      </c>
      <c r="O7" s="5" t="str">
        <f>IF(AND(percentiles!$C$2&gt;S6B_num_weighting!M7,percentiles!$C$2&lt;S6B_num_weighting!N7),"lower",IF(AND(percentiles!$C$3&gt;S6B_num_weighting!M7,percentiles!$C$3&lt;S6B_num_weighting!N7),"upper","n/a"))</f>
        <v>n/a</v>
      </c>
    </row>
    <row r="8" spans="1:15" x14ac:dyDescent="0.25">
      <c r="A8" s="4" t="s">
        <v>56</v>
      </c>
      <c r="B8" s="5" t="s">
        <v>79</v>
      </c>
      <c r="C8" s="10">
        <v>44986</v>
      </c>
      <c r="D8" s="15">
        <v>0.4428949592441786</v>
      </c>
      <c r="E8" s="15">
        <f t="shared" si="4"/>
        <v>2.6484596980229359E-2</v>
      </c>
      <c r="F8" s="15">
        <v>3.9328857601936301E-2</v>
      </c>
      <c r="G8" s="15">
        <v>7.7781738008785364E-2</v>
      </c>
      <c r="H8" s="4">
        <v>7</v>
      </c>
      <c r="I8" s="15">
        <f t="shared" si="0"/>
        <v>0.19936639755116808</v>
      </c>
      <c r="J8" s="15">
        <f t="shared" si="1"/>
        <v>0.22585099453139745</v>
      </c>
      <c r="K8" s="5" t="str">
        <f>IF(AND(percentiles!$C$2&gt;S6B_num_weighting!I8,percentiles!$C$2&lt;S6B_num_weighting!J8),"lower",IF(AND(percentiles!$C$3&gt;S6B_num_weighting!I8,percentiles!$C$3&lt;S6B_num_weighting!J8),"upper","n/a"))</f>
        <v>n/a</v>
      </c>
      <c r="L8" s="4">
        <v>14</v>
      </c>
      <c r="M8" s="15">
        <f t="shared" si="2"/>
        <v>0.44985453133805847</v>
      </c>
      <c r="N8" s="15">
        <f t="shared" si="3"/>
        <v>0.47633912831828784</v>
      </c>
      <c r="O8" s="5" t="str">
        <f>IF(AND(percentiles!$C$2&gt;S6B_num_weighting!M8,percentiles!$C$2&lt;S6B_num_weighting!N8),"lower",IF(AND(percentiles!$C$3&gt;S6B_num_weighting!M8,percentiles!$C$3&lt;S6B_num_weighting!N8),"upper","n/a"))</f>
        <v>n/a</v>
      </c>
    </row>
    <row r="9" spans="1:15" x14ac:dyDescent="0.25">
      <c r="A9" s="4" t="s">
        <v>57</v>
      </c>
      <c r="B9" s="5" t="s">
        <v>27</v>
      </c>
      <c r="C9" s="10">
        <v>44136</v>
      </c>
      <c r="D9" s="15">
        <v>0.45163709220912857</v>
      </c>
      <c r="E9" s="15">
        <f t="shared" si="4"/>
        <v>2.700736623621592E-2</v>
      </c>
      <c r="F9" s="15">
        <v>3.9779382211890271E-2</v>
      </c>
      <c r="G9" s="15">
        <v>7.4842808405612443E-2</v>
      </c>
      <c r="H9" s="4">
        <v>9</v>
      </c>
      <c r="I9" s="15">
        <f t="shared" si="0"/>
        <v>0.253444248191245</v>
      </c>
      <c r="J9" s="15">
        <f t="shared" si="1"/>
        <v>0.28045161442746092</v>
      </c>
      <c r="K9" s="5" t="str">
        <f>IF(AND(percentiles!$C$2&gt;S6B_num_weighting!I9,percentiles!$C$2&lt;S6B_num_weighting!J9),"lower",IF(AND(percentiles!$C$3&gt;S6B_num_weighting!I9,percentiles!$C$3&lt;S6B_num_weighting!J9),"upper","n/a"))</f>
        <v>n/a</v>
      </c>
      <c r="L9" s="4">
        <v>12</v>
      </c>
      <c r="M9" s="15">
        <f t="shared" si="2"/>
        <v>0.3952539114419949</v>
      </c>
      <c r="N9" s="15">
        <f t="shared" si="3"/>
        <v>0.42226127767821081</v>
      </c>
      <c r="O9" s="5" t="str">
        <f>IF(AND(percentiles!$C$2&gt;S6B_num_weighting!M9,percentiles!$C$2&lt;S6B_num_weighting!N9),"lower",IF(AND(percentiles!$C$3&gt;S6B_num_weighting!M9,percentiles!$C$3&lt;S6B_num_weighting!N9),"upper","n/a"))</f>
        <v>n/a</v>
      </c>
    </row>
    <row r="10" spans="1:15" x14ac:dyDescent="0.25">
      <c r="A10" s="4" t="s">
        <v>58</v>
      </c>
      <c r="B10" s="5" t="s">
        <v>27</v>
      </c>
      <c r="C10" s="10">
        <v>44866</v>
      </c>
      <c r="D10" s="15">
        <v>0.48422249147041052</v>
      </c>
      <c r="E10" s="15">
        <f t="shared" si="4"/>
        <v>2.8955934737306305E-2</v>
      </c>
      <c r="F10" s="15">
        <v>2.0632008463970345E-2</v>
      </c>
      <c r="G10" s="15">
        <v>3.3492816495873781E-2</v>
      </c>
      <c r="H10" s="4">
        <v>2</v>
      </c>
      <c r="I10" s="15">
        <f t="shared" si="0"/>
        <v>5.8039272262980203E-2</v>
      </c>
      <c r="J10" s="15">
        <f t="shared" si="1"/>
        <v>8.6995207000286512E-2</v>
      </c>
      <c r="K10" s="5" t="str">
        <f>IF(AND(percentiles!$C$2&gt;S6B_num_weighting!I10,percentiles!$C$2&lt;S6B_num_weighting!J10),"lower",IF(AND(percentiles!$C$3&gt;S6B_num_weighting!I10,percentiles!$C$3&lt;S6B_num_weighting!J10),"upper","n/a"))</f>
        <v>n/a</v>
      </c>
      <c r="L10" s="4">
        <v>3</v>
      </c>
      <c r="M10" s="15">
        <f t="shared" si="2"/>
        <v>8.8418583566246836E-2</v>
      </c>
      <c r="N10" s="15">
        <f t="shared" si="3"/>
        <v>0.11737451830355314</v>
      </c>
      <c r="O10" s="5" t="str">
        <f>IF(AND(percentiles!$C$2&gt;S6B_num_weighting!M10,percentiles!$C$2&lt;S6B_num_weighting!N10),"lower",IF(AND(percentiles!$C$3&gt;S6B_num_weighting!M10,percentiles!$C$3&lt;S6B_num_weighting!N10),"upper","n/a"))</f>
        <v>n/a</v>
      </c>
    </row>
    <row r="11" spans="1:15" x14ac:dyDescent="0.25">
      <c r="A11" s="4" t="s">
        <v>59</v>
      </c>
      <c r="B11" s="5" t="s">
        <v>27</v>
      </c>
      <c r="C11" s="10">
        <v>44166</v>
      </c>
      <c r="D11" s="15">
        <v>0.44699527334523209</v>
      </c>
      <c r="E11" s="15">
        <f t="shared" si="4"/>
        <v>2.6729790934669654E-2</v>
      </c>
      <c r="F11" s="15">
        <v>4.0735552965571832E-2</v>
      </c>
      <c r="G11" s="15">
        <v>6.6351931771520226E-2</v>
      </c>
      <c r="H11" s="4">
        <v>11</v>
      </c>
      <c r="I11" s="15">
        <f t="shared" si="0"/>
        <v>0.32067871853972979</v>
      </c>
      <c r="J11" s="15">
        <f t="shared" si="1"/>
        <v>0.34740850947439944</v>
      </c>
      <c r="K11" s="5" t="str">
        <f>IF(AND(percentiles!$C$2&gt;S6B_num_weighting!I11,percentiles!$C$2&lt;S6B_num_weighting!J11),"lower",IF(AND(percentiles!$C$3&gt;S6B_num_weighting!I11,percentiles!$C$3&lt;S6B_num_weighting!J11),"upper","n/a"))</f>
        <v>n/a</v>
      </c>
      <c r="L11" s="4">
        <v>10</v>
      </c>
      <c r="M11" s="15">
        <f t="shared" si="2"/>
        <v>0.3087252981738613</v>
      </c>
      <c r="N11" s="15">
        <f t="shared" si="3"/>
        <v>0.33545508910853095</v>
      </c>
      <c r="O11" s="5" t="str">
        <f>IF(AND(percentiles!$C$2&gt;S6B_num_weighting!M11,percentiles!$C$2&lt;S6B_num_weighting!N11),"lower",IF(AND(percentiles!$C$3&gt;S6B_num_weighting!M11,percentiles!$C$3&lt;S6B_num_weighting!N11),"upper","n/a"))</f>
        <v>n/a</v>
      </c>
    </row>
    <row r="12" spans="1:15" x14ac:dyDescent="0.25">
      <c r="A12" s="4" t="s">
        <v>60</v>
      </c>
      <c r="B12" s="5" t="s">
        <v>80</v>
      </c>
      <c r="C12" s="10">
        <v>43435</v>
      </c>
      <c r="D12" s="15">
        <v>0.50802524393973125</v>
      </c>
      <c r="E12" s="15">
        <f t="shared" si="4"/>
        <v>3.0379311303266633E-2</v>
      </c>
      <c r="F12" s="15">
        <v>2.1966172270398609E-2</v>
      </c>
      <c r="G12" s="15">
        <v>3.0279043354572217E-2</v>
      </c>
      <c r="H12" s="4">
        <v>3</v>
      </c>
      <c r="I12" s="15">
        <f t="shared" si="0"/>
        <v>8.6995207000286512E-2</v>
      </c>
      <c r="J12" s="15">
        <f t="shared" si="1"/>
        <v>0.11737451830355314</v>
      </c>
      <c r="K12" s="5" t="str">
        <f>IF(AND(percentiles!$C$2&gt;S6B_num_weighting!I12,percentiles!$C$2&lt;S6B_num_weighting!J12),"lower",IF(AND(percentiles!$C$3&gt;S6B_num_weighting!I12,percentiles!$C$3&lt;S6B_num_weighting!J12),"upper","n/a"))</f>
        <v>n/a</v>
      </c>
      <c r="L12" s="4">
        <v>2</v>
      </c>
      <c r="M12" s="15">
        <f t="shared" si="2"/>
        <v>5.8039272262980203E-2</v>
      </c>
      <c r="N12" s="15">
        <f t="shared" si="3"/>
        <v>8.8418583566246836E-2</v>
      </c>
      <c r="O12" s="5" t="str">
        <f>IF(AND(percentiles!$C$2&gt;S6B_num_weighting!M12,percentiles!$C$2&lt;S6B_num_weighting!N12),"lower",IF(AND(percentiles!$C$3&gt;S6B_num_weighting!M12,percentiles!$C$3&lt;S6B_num_weighting!N12),"upper","n/a"))</f>
        <v>n/a</v>
      </c>
    </row>
    <row r="13" spans="1:15" x14ac:dyDescent="0.25">
      <c r="A13" s="4" t="s">
        <v>60</v>
      </c>
      <c r="B13" s="5" t="s">
        <v>27</v>
      </c>
      <c r="C13" s="10">
        <v>44470</v>
      </c>
      <c r="D13" s="15">
        <v>0.5005713337011487</v>
      </c>
      <c r="E13" s="15">
        <f t="shared" si="4"/>
        <v>2.9933576249220051E-2</v>
      </c>
      <c r="F13" s="15">
        <v>0.13836054425485059</v>
      </c>
      <c r="G13" s="15">
        <v>0.19491591259787361</v>
      </c>
      <c r="H13" s="4">
        <v>27</v>
      </c>
      <c r="I13" s="15">
        <f t="shared" si="0"/>
        <v>0.8789869368798453</v>
      </c>
      <c r="J13" s="15">
        <f t="shared" si="1"/>
        <v>0.90892051312906541</v>
      </c>
      <c r="K13" s="5" t="str">
        <f>IF(AND(percentiles!$C$2&gt;S6B_num_weighting!I13,percentiles!$C$2&lt;S6B_num_weighting!J13),"lower",IF(AND(percentiles!$C$3&gt;S6B_num_weighting!I13,percentiles!$C$3&lt;S6B_num_weighting!J13),"upper","n/a"))</f>
        <v>n/a</v>
      </c>
      <c r="L13" s="4">
        <v>25</v>
      </c>
      <c r="M13" s="15">
        <f t="shared" si="2"/>
        <v>0.85590708790624082</v>
      </c>
      <c r="N13" s="15">
        <f t="shared" si="3"/>
        <v>0.88584066415546081</v>
      </c>
      <c r="O13" s="5" t="str">
        <f>IF(AND(percentiles!$C$2&gt;S6B_num_weighting!M13,percentiles!$C$2&lt;S6B_num_weighting!N13),"lower",IF(AND(percentiles!$C$3&gt;S6B_num_weighting!M13,percentiles!$C$3&lt;S6B_num_weighting!N13),"upper","n/a"))</f>
        <v>n/a</v>
      </c>
    </row>
    <row r="14" spans="1:15" x14ac:dyDescent="0.25">
      <c r="A14" s="4" t="s">
        <v>61</v>
      </c>
      <c r="B14" s="5" t="s">
        <v>80</v>
      </c>
      <c r="C14" s="10">
        <v>44197</v>
      </c>
      <c r="D14" s="15">
        <v>0.34774380151396506</v>
      </c>
      <c r="E14" s="15">
        <f t="shared" si="4"/>
        <v>2.0794669804296922E-2</v>
      </c>
      <c r="F14" s="15">
        <v>5.7724199461596772E-2</v>
      </c>
      <c r="G14" s="15">
        <v>0.12658636886458066</v>
      </c>
      <c r="H14" s="4">
        <v>16</v>
      </c>
      <c r="I14" s="15">
        <f t="shared" si="0"/>
        <v>0.46280316727309329</v>
      </c>
      <c r="J14" s="15">
        <f t="shared" si="1"/>
        <v>0.48359783707739024</v>
      </c>
      <c r="K14" s="5" t="str">
        <f>IF(AND(percentiles!$C$2&gt;S6B_num_weighting!I14,percentiles!$C$2&lt;S6B_num_weighting!J14),"lower",IF(AND(percentiles!$C$3&gt;S6B_num_weighting!I14,percentiles!$C$3&lt;S6B_num_weighting!J14),"upper","n/a"))</f>
        <v>n/a</v>
      </c>
      <c r="L14" s="4">
        <v>23</v>
      </c>
      <c r="M14" s="15">
        <f t="shared" si="2"/>
        <v>0.77531359576848013</v>
      </c>
      <c r="N14" s="15">
        <f t="shared" si="3"/>
        <v>0.79610826557277703</v>
      </c>
      <c r="O14" s="5" t="str">
        <f>IF(AND(percentiles!$C$2&gt;S6B_num_weighting!M14,percentiles!$C$2&lt;S6B_num_weighting!N14),"lower",IF(AND(percentiles!$C$3&gt;S6B_num_weighting!M14,percentiles!$C$3&lt;S6B_num_weighting!N14),"upper","n/a"))</f>
        <v>n/a</v>
      </c>
    </row>
    <row r="15" spans="1:15" x14ac:dyDescent="0.25">
      <c r="A15" s="4" t="s">
        <v>62</v>
      </c>
      <c r="B15" s="5" t="s">
        <v>81</v>
      </c>
      <c r="C15" s="10">
        <v>42887</v>
      </c>
      <c r="D15" s="15">
        <v>0.97057550630894251</v>
      </c>
      <c r="E15" s="15">
        <f t="shared" si="4"/>
        <v>5.8039272262980203E-2</v>
      </c>
      <c r="F15" s="15">
        <v>4.6175805771066008E-3</v>
      </c>
      <c r="G15" s="15">
        <v>4.0402589227285755E-3</v>
      </c>
      <c r="H15" s="4">
        <v>1</v>
      </c>
      <c r="I15" s="15">
        <f t="shared" si="0"/>
        <v>0</v>
      </c>
      <c r="J15" s="15">
        <f t="shared" si="1"/>
        <v>5.8039272262980203E-2</v>
      </c>
      <c r="K15" s="5" t="str">
        <f>IF(AND(percentiles!$C$2&gt;S6B_num_weighting!I15,percentiles!$C$2&lt;S6B_num_weighting!J15),"lower",IF(AND(percentiles!$C$3&gt;S6B_num_weighting!I15,percentiles!$C$3&lt;S6B_num_weighting!J15),"upper","n/a"))</f>
        <v>n/a</v>
      </c>
      <c r="L15" s="4">
        <v>1</v>
      </c>
      <c r="M15" s="15">
        <f t="shared" si="2"/>
        <v>0</v>
      </c>
      <c r="N15" s="15">
        <f t="shared" si="3"/>
        <v>5.8039272262980203E-2</v>
      </c>
      <c r="O15" s="5" t="str">
        <f>IF(AND(percentiles!$C$2&gt;S6B_num_weighting!M15,percentiles!$C$2&lt;S6B_num_weighting!N15),"lower",IF(AND(percentiles!$C$3&gt;S6B_num_weighting!M15,percentiles!$C$3&lt;S6B_num_weighting!N15),"upper","n/a"))</f>
        <v>n/a</v>
      </c>
    </row>
    <row r="16" spans="1:15" x14ac:dyDescent="0.25">
      <c r="A16" s="4" t="s">
        <v>63</v>
      </c>
      <c r="B16" s="5" t="s">
        <v>27</v>
      </c>
      <c r="C16" s="10">
        <v>43374</v>
      </c>
      <c r="D16" s="15">
        <v>0.43568717872637802</v>
      </c>
      <c r="E16" s="15">
        <f t="shared" si="4"/>
        <v>2.6053580193626802E-2</v>
      </c>
      <c r="F16" s="15">
        <v>8.5735225458585265E-2</v>
      </c>
      <c r="G16" s="15">
        <v>0.11702332242600069</v>
      </c>
      <c r="H16" s="4">
        <v>20</v>
      </c>
      <c r="I16" s="15">
        <f t="shared" si="0"/>
        <v>0.61808417054364206</v>
      </c>
      <c r="J16" s="15">
        <f t="shared" si="1"/>
        <v>0.64413775073726887</v>
      </c>
      <c r="K16" s="5" t="str">
        <f>IF(AND(percentiles!$C$2&gt;S6B_num_weighting!I16,percentiles!$C$2&lt;S6B_num_weighting!J16),"lower",IF(AND(percentiles!$C$3&gt;S6B_num_weighting!I16,percentiles!$C$3&lt;S6B_num_weighting!J16),"upper","n/a"))</f>
        <v>n/a</v>
      </c>
      <c r="L16" s="4">
        <v>20</v>
      </c>
      <c r="M16" s="15">
        <f t="shared" si="2"/>
        <v>0.63862498658120126</v>
      </c>
      <c r="N16" s="15">
        <f t="shared" si="3"/>
        <v>0.66467856677482806</v>
      </c>
      <c r="O16" s="5" t="str">
        <f>IF(AND(percentiles!$C$2&gt;S6B_num_weighting!M16,percentiles!$C$2&lt;S6B_num_weighting!N16),"lower",IF(AND(percentiles!$C$3&gt;S6B_num_weighting!M16,percentiles!$C$3&lt;S6B_num_weighting!N16),"upper","n/a"))</f>
        <v>upper</v>
      </c>
    </row>
    <row r="17" spans="1:15" x14ac:dyDescent="0.25">
      <c r="A17" s="4" t="s">
        <v>64</v>
      </c>
      <c r="B17" s="5" t="s">
        <v>27</v>
      </c>
      <c r="C17" s="10">
        <v>44774</v>
      </c>
      <c r="D17" s="15">
        <v>0.46143473371391447</v>
      </c>
      <c r="E17" s="15">
        <f t="shared" si="4"/>
        <v>2.7593253659847584E-2</v>
      </c>
      <c r="F17" s="15">
        <v>3.9331270705447612E-2</v>
      </c>
      <c r="G17" s="15">
        <v>7.6137909823428926E-2</v>
      </c>
      <c r="H17" s="4">
        <v>8</v>
      </c>
      <c r="I17" s="15">
        <f t="shared" si="0"/>
        <v>0.22585099453139745</v>
      </c>
      <c r="J17" s="15">
        <f t="shared" si="1"/>
        <v>0.25344424819124506</v>
      </c>
      <c r="K17" s="5" t="str">
        <f>IF(AND(percentiles!$C$2&gt;S6B_num_weighting!I17,percentiles!$C$2&lt;S6B_num_weighting!J17),"lower",IF(AND(percentiles!$C$3&gt;S6B_num_weighting!I17,percentiles!$C$3&lt;S6B_num_weighting!J17),"upper","n/a"))</f>
        <v>n/a</v>
      </c>
      <c r="L17" s="4">
        <v>13</v>
      </c>
      <c r="M17" s="15">
        <f t="shared" si="2"/>
        <v>0.42226127767821087</v>
      </c>
      <c r="N17" s="15">
        <f t="shared" si="3"/>
        <v>0.44985453133805847</v>
      </c>
      <c r="O17" s="5" t="str">
        <f>IF(AND(percentiles!$C$2&gt;S6B_num_weighting!M17,percentiles!$C$2&lt;S6B_num_weighting!N17),"lower",IF(AND(percentiles!$C$3&gt;S6B_num_weighting!M17,percentiles!$C$3&lt;S6B_num_weighting!N17),"upper","n/a"))</f>
        <v>n/a</v>
      </c>
    </row>
    <row r="18" spans="1:15" x14ac:dyDescent="0.25">
      <c r="A18" s="4" t="s">
        <v>65</v>
      </c>
      <c r="B18" s="5" t="s">
        <v>27</v>
      </c>
      <c r="C18" s="10">
        <v>44044</v>
      </c>
      <c r="D18" s="15">
        <v>0.52309833733909328</v>
      </c>
      <c r="E18" s="15">
        <f t="shared" si="4"/>
        <v>3.128066453747079E-2</v>
      </c>
      <c r="F18" s="15">
        <v>0.19183145095100362</v>
      </c>
      <c r="G18" s="15">
        <v>0.19767570488445071</v>
      </c>
      <c r="H18" s="4">
        <v>29</v>
      </c>
      <c r="I18" s="15">
        <f t="shared" si="0"/>
        <v>0.96871933546252909</v>
      </c>
      <c r="J18" s="15">
        <f t="shared" si="1"/>
        <v>0.99999999999999989</v>
      </c>
      <c r="K18" s="5" t="str">
        <f>IF(AND(percentiles!$C$2&gt;S6B_num_weighting!I18,percentiles!$C$2&lt;S6B_num_weighting!J18),"lower",IF(AND(percentiles!$C$3&gt;S6B_num_weighting!I18,percentiles!$C$3&lt;S6B_num_weighting!J18),"upper","n/a"))</f>
        <v>n/a</v>
      </c>
      <c r="L18" s="4">
        <v>26</v>
      </c>
      <c r="M18" s="15">
        <f t="shared" si="2"/>
        <v>0.88584066415546081</v>
      </c>
      <c r="N18" s="15">
        <f t="shared" si="3"/>
        <v>0.91712132869293161</v>
      </c>
      <c r="O18" s="5" t="str">
        <f>IF(AND(percentiles!$C$2&gt;S6B_num_weighting!M18,percentiles!$C$2&lt;S6B_num_weighting!N18),"lower",IF(AND(percentiles!$C$3&gt;S6B_num_weighting!M18,percentiles!$C$3&lt;S6B_num_weighting!N18),"upper","n/a"))</f>
        <v>n/a</v>
      </c>
    </row>
    <row r="19" spans="1:15" x14ac:dyDescent="0.25">
      <c r="A19" s="4" t="s">
        <v>66</v>
      </c>
      <c r="B19" s="5" t="s">
        <v>80</v>
      </c>
      <c r="C19" s="10">
        <v>42856</v>
      </c>
      <c r="D19" s="15">
        <v>0.65954276414896384</v>
      </c>
      <c r="E19" s="15">
        <f t="shared" si="4"/>
        <v>3.9439880574665555E-2</v>
      </c>
      <c r="F19" s="15">
        <v>4.2430900121304606E-2</v>
      </c>
      <c r="G19" s="15">
        <v>4.0765361744018354E-2</v>
      </c>
      <c r="H19" s="4">
        <v>12</v>
      </c>
      <c r="I19" s="15">
        <f t="shared" si="0"/>
        <v>0.3474085094743995</v>
      </c>
      <c r="J19" s="15">
        <f t="shared" si="1"/>
        <v>0.38684839004906507</v>
      </c>
      <c r="K19" s="5" t="str">
        <f>IF(AND(percentiles!$C$2&gt;S6B_num_weighting!I19,percentiles!$C$2&lt;S6B_num_weighting!J19),"lower",IF(AND(percentiles!$C$3&gt;S6B_num_weighting!I19,percentiles!$C$3&lt;S6B_num_weighting!J19),"upper","n/a"))</f>
        <v>lower</v>
      </c>
      <c r="L19" s="4">
        <v>4</v>
      </c>
      <c r="M19" s="15">
        <f t="shared" si="2"/>
        <v>0.11737451830355314</v>
      </c>
      <c r="N19" s="15">
        <f t="shared" si="3"/>
        <v>0.15681439887821869</v>
      </c>
      <c r="O19" s="5" t="str">
        <f>IF(AND(percentiles!$C$2&gt;S6B_num_weighting!M19,percentiles!$C$2&lt;S6B_num_weighting!N19),"lower",IF(AND(percentiles!$C$3&gt;S6B_num_weighting!M19,percentiles!$C$3&lt;S6B_num_weighting!N19),"upper","n/a"))</f>
        <v>n/a</v>
      </c>
    </row>
    <row r="20" spans="1:15" x14ac:dyDescent="0.25">
      <c r="A20" s="4" t="s">
        <v>67</v>
      </c>
      <c r="B20" s="5" t="s">
        <v>77</v>
      </c>
      <c r="C20" s="10">
        <v>44470</v>
      </c>
      <c r="D20" s="15">
        <v>0.45984553702581071</v>
      </c>
      <c r="E20" s="15">
        <f t="shared" si="4"/>
        <v>2.7498221569442739E-2</v>
      </c>
      <c r="F20" s="15">
        <v>3.2675847731446356E-2</v>
      </c>
      <c r="G20" s="15">
        <v>5.4626828378099783E-2</v>
      </c>
      <c r="H20" s="4">
        <v>4</v>
      </c>
      <c r="I20" s="15">
        <f t="shared" si="0"/>
        <v>0.11737451830355314</v>
      </c>
      <c r="J20" s="15">
        <f t="shared" si="1"/>
        <v>0.14487273987299587</v>
      </c>
      <c r="K20" s="5" t="str">
        <f>IF(AND(percentiles!$C$2&gt;S6B_num_weighting!I20,percentiles!$C$2&lt;S6B_num_weighting!J20),"lower",IF(AND(percentiles!$C$3&gt;S6B_num_weighting!I20,percentiles!$C$3&lt;S6B_num_weighting!J20),"upper","n/a"))</f>
        <v>n/a</v>
      </c>
      <c r="L20" s="4">
        <v>7</v>
      </c>
      <c r="M20" s="15">
        <f t="shared" si="2"/>
        <v>0.22765748800359978</v>
      </c>
      <c r="N20" s="15">
        <f t="shared" si="3"/>
        <v>0.25515570957304251</v>
      </c>
      <c r="O20" s="5" t="str">
        <f>IF(AND(percentiles!$C$2&gt;S6B_num_weighting!M20,percentiles!$C$2&lt;S6B_num_weighting!N20),"lower",IF(AND(percentiles!$C$3&gt;S6B_num_weighting!M20,percentiles!$C$3&lt;S6B_num_weighting!N20),"upper","n/a"))</f>
        <v>n/a</v>
      </c>
    </row>
    <row r="21" spans="1:15" x14ac:dyDescent="0.25">
      <c r="A21" s="4" t="s">
        <v>68</v>
      </c>
      <c r="B21" s="5" t="s">
        <v>27</v>
      </c>
      <c r="C21" s="10">
        <v>42826</v>
      </c>
      <c r="D21" s="15">
        <v>0.57413297885296111</v>
      </c>
      <c r="E21" s="15">
        <f t="shared" si="4"/>
        <v>3.4332475998210592E-2</v>
      </c>
      <c r="F21" s="15">
        <v>0.11741663159113117</v>
      </c>
      <c r="G21" s="15">
        <v>0.20789617012727662</v>
      </c>
      <c r="H21" s="4">
        <v>25</v>
      </c>
      <c r="I21" s="15">
        <f t="shared" si="0"/>
        <v>0.78485563854817098</v>
      </c>
      <c r="J21" s="15">
        <f t="shared" si="1"/>
        <v>0.81918811454638152</v>
      </c>
      <c r="K21" s="5" t="str">
        <f>IF(AND(percentiles!$C$2&gt;S6B_num_weighting!I21,percentiles!$C$2&lt;S6B_num_weighting!J21),"lower",IF(AND(percentiles!$C$3&gt;S6B_num_weighting!I21,percentiles!$C$3&lt;S6B_num_weighting!J21),"upper","n/a"))</f>
        <v>n/a</v>
      </c>
      <c r="L21" s="4">
        <v>27</v>
      </c>
      <c r="M21" s="15">
        <f t="shared" si="2"/>
        <v>0.91712132869293161</v>
      </c>
      <c r="N21" s="15">
        <f t="shared" si="3"/>
        <v>0.95145380469114216</v>
      </c>
      <c r="O21" s="5" t="str">
        <f>IF(AND(percentiles!$C$2&gt;S6B_num_weighting!M21,percentiles!$C$2&lt;S6B_num_weighting!N21),"lower",IF(AND(percentiles!$C$3&gt;S6B_num_weighting!M21,percentiles!$C$3&lt;S6B_num_weighting!N21),"upper","n/a"))</f>
        <v>n/a</v>
      </c>
    </row>
    <row r="22" spans="1:15" x14ac:dyDescent="0.25">
      <c r="A22" s="4" t="s">
        <v>68</v>
      </c>
      <c r="B22" s="5" t="s">
        <v>80</v>
      </c>
      <c r="C22" s="10">
        <v>42826</v>
      </c>
      <c r="D22" s="15">
        <v>0.57413297885296111</v>
      </c>
      <c r="E22" s="15">
        <f t="shared" si="4"/>
        <v>3.4332475998210592E-2</v>
      </c>
      <c r="F22" s="15">
        <v>5.8062680376064914E-2</v>
      </c>
      <c r="G22" s="15">
        <v>0.10280493243531129</v>
      </c>
      <c r="H22" s="4">
        <v>17</v>
      </c>
      <c r="I22" s="15">
        <f t="shared" si="0"/>
        <v>0.48359783707739024</v>
      </c>
      <c r="J22" s="15">
        <f t="shared" si="1"/>
        <v>0.51793031307560078</v>
      </c>
      <c r="K22" s="5" t="str">
        <f>IF(AND(percentiles!$C$2&gt;S6B_num_weighting!I22,percentiles!$C$2&lt;S6B_num_weighting!J22),"lower",IF(AND(percentiles!$C$3&gt;S6B_num_weighting!I22,percentiles!$C$3&lt;S6B_num_weighting!J22),"upper","n/a"))</f>
        <v>n/a</v>
      </c>
      <c r="L22" s="4">
        <v>18</v>
      </c>
      <c r="M22" s="15">
        <f t="shared" si="2"/>
        <v>0.56295702474113463</v>
      </c>
      <c r="N22" s="15">
        <f t="shared" si="3"/>
        <v>0.59728950073934517</v>
      </c>
      <c r="O22" s="5" t="str">
        <f>IF(AND(percentiles!$C$2&gt;S6B_num_weighting!M22,percentiles!$C$2&lt;S6B_num_weighting!N22),"lower",IF(AND(percentiles!$C$3&gt;S6B_num_weighting!M22,percentiles!$C$3&lt;S6B_num_weighting!N22),"upper","n/a"))</f>
        <v>n/a</v>
      </c>
    </row>
    <row r="23" spans="1:15" x14ac:dyDescent="0.25">
      <c r="A23" s="4" t="s">
        <v>69</v>
      </c>
      <c r="B23" s="5" t="s">
        <v>27</v>
      </c>
      <c r="C23" s="10">
        <v>44136</v>
      </c>
      <c r="D23" s="15">
        <v>0.36164780846011452</v>
      </c>
      <c r="E23" s="15">
        <f t="shared" si="4"/>
        <v>2.1626113045392963E-2</v>
      </c>
      <c r="F23" s="15">
        <v>4.5149339819234212E-2</v>
      </c>
      <c r="G23" s="15">
        <v>7.9730423835622802E-2</v>
      </c>
      <c r="H23" s="4">
        <v>13</v>
      </c>
      <c r="I23" s="15">
        <f t="shared" si="0"/>
        <v>0.38684839004906507</v>
      </c>
      <c r="J23" s="15">
        <f t="shared" si="1"/>
        <v>0.40847450309445804</v>
      </c>
      <c r="K23" s="5" t="str">
        <f>IF(AND(percentiles!$C$2&gt;S6B_num_weighting!I23,percentiles!$C$2&lt;S6B_num_weighting!J23),"lower",IF(AND(percentiles!$C$3&gt;S6B_num_weighting!I23,percentiles!$C$3&lt;S6B_num_weighting!J23),"upper","n/a"))</f>
        <v>n/a</v>
      </c>
      <c r="L23" s="4">
        <v>15</v>
      </c>
      <c r="M23" s="15">
        <f t="shared" si="2"/>
        <v>0.47633912831828784</v>
      </c>
      <c r="N23" s="15">
        <f t="shared" si="3"/>
        <v>0.49796524136368081</v>
      </c>
      <c r="O23" s="5" t="str">
        <f>IF(AND(percentiles!$C$2&gt;S6B_num_weighting!M23,percentiles!$C$2&lt;S6B_num_weighting!N23),"lower",IF(AND(percentiles!$C$3&gt;S6B_num_weighting!M23,percentiles!$C$3&lt;S6B_num_weighting!N23),"upper","n/a"))</f>
        <v>n/a</v>
      </c>
    </row>
    <row r="24" spans="1:15" x14ac:dyDescent="0.25">
      <c r="A24" s="4" t="s">
        <v>70</v>
      </c>
      <c r="B24" s="5" t="s">
        <v>27</v>
      </c>
      <c r="C24" s="10">
        <v>44287</v>
      </c>
      <c r="D24" s="15">
        <v>0.3993000486181455</v>
      </c>
      <c r="E24" s="15">
        <f t="shared" si="4"/>
        <v>2.3877672665059971E-2</v>
      </c>
      <c r="F24" s="15">
        <v>3.271889447521821E-2</v>
      </c>
      <c r="G24" s="15">
        <v>5.5143527883624248E-2</v>
      </c>
      <c r="H24" s="4">
        <v>5</v>
      </c>
      <c r="I24" s="15">
        <f t="shared" si="0"/>
        <v>0.14487273987299587</v>
      </c>
      <c r="J24" s="15">
        <f t="shared" si="1"/>
        <v>0.16875041253805584</v>
      </c>
      <c r="K24" s="5" t="str">
        <f>IF(AND(percentiles!$C$2&gt;S6B_num_weighting!I24,percentiles!$C$2&lt;S6B_num_weighting!J24),"lower",IF(AND(percentiles!$C$3&gt;S6B_num_weighting!I24,percentiles!$C$3&lt;S6B_num_weighting!J24),"upper","n/a"))</f>
        <v>n/a</v>
      </c>
      <c r="L24" s="4">
        <v>8</v>
      </c>
      <c r="M24" s="15">
        <f t="shared" si="2"/>
        <v>0.25515570957304251</v>
      </c>
      <c r="N24" s="15">
        <f t="shared" si="3"/>
        <v>0.27903338223810248</v>
      </c>
      <c r="O24" s="5" t="str">
        <f>IF(AND(percentiles!$C$2&gt;S6B_num_weighting!M24,percentiles!$C$2&lt;S6B_num_weighting!N24),"lower",IF(AND(percentiles!$C$3&gt;S6B_num_weighting!M24,percentiles!$C$3&lt;S6B_num_weighting!N24),"upper","n/a"))</f>
        <v>n/a</v>
      </c>
    </row>
    <row r="25" spans="1:15" x14ac:dyDescent="0.25">
      <c r="A25" s="4" t="s">
        <v>71</v>
      </c>
      <c r="B25" s="5" t="s">
        <v>27</v>
      </c>
      <c r="C25" s="10">
        <v>44378</v>
      </c>
      <c r="D25" s="15">
        <v>0.4119938701383008</v>
      </c>
      <c r="E25" s="15">
        <f t="shared" si="4"/>
        <v>2.4636748242876438E-2</v>
      </c>
      <c r="F25" s="15">
        <v>5.5222795838118115E-2</v>
      </c>
      <c r="G25" s="15">
        <v>8.3988658391215221E-2</v>
      </c>
      <c r="H25" s="4">
        <v>15</v>
      </c>
      <c r="I25" s="15">
        <f t="shared" si="0"/>
        <v>0.43816641903021686</v>
      </c>
      <c r="J25" s="15">
        <f t="shared" si="1"/>
        <v>0.46280316727309329</v>
      </c>
      <c r="K25" s="5" t="str">
        <f>IF(AND(percentiles!$C$2&gt;S6B_num_weighting!I25,percentiles!$C$2&lt;S6B_num_weighting!J25),"lower",IF(AND(percentiles!$C$3&gt;S6B_num_weighting!I25,percentiles!$C$3&lt;S6B_num_weighting!J25),"upper","n/a"))</f>
        <v>n/a</v>
      </c>
      <c r="L25" s="4">
        <v>17</v>
      </c>
      <c r="M25" s="15">
        <f t="shared" si="2"/>
        <v>0.5383202764982582</v>
      </c>
      <c r="N25" s="15">
        <f t="shared" si="3"/>
        <v>0.56295702474113463</v>
      </c>
      <c r="O25" s="5" t="str">
        <f>IF(AND(percentiles!$C$2&gt;S6B_num_weighting!M25,percentiles!$C$2&lt;S6B_num_weighting!N25),"lower",IF(AND(percentiles!$C$3&gt;S6B_num_weighting!M25,percentiles!$C$3&lt;S6B_num_weighting!N25),"upper","n/a"))</f>
        <v>n/a</v>
      </c>
    </row>
    <row r="26" spans="1:15" x14ac:dyDescent="0.25">
      <c r="A26" s="4" t="s">
        <v>72</v>
      </c>
      <c r="B26" s="5" t="s">
        <v>27</v>
      </c>
      <c r="C26" s="10">
        <v>43435</v>
      </c>
      <c r="D26" s="15">
        <v>0.67484665349328188</v>
      </c>
      <c r="E26" s="15">
        <f t="shared" si="4"/>
        <v>4.0355035134577423E-2</v>
      </c>
      <c r="F26" s="15">
        <v>7.6940526102519433E-2</v>
      </c>
      <c r="G26" s="15">
        <v>8.2875350836705802E-2</v>
      </c>
      <c r="H26" s="4">
        <v>19</v>
      </c>
      <c r="I26" s="15">
        <f t="shared" si="0"/>
        <v>0.57772913540906468</v>
      </c>
      <c r="J26" s="15">
        <f t="shared" si="1"/>
        <v>0.61808417054364206</v>
      </c>
      <c r="K26" s="5" t="str">
        <f>IF(AND(percentiles!$C$2&gt;S6B_num_weighting!I26,percentiles!$C$2&lt;S6B_num_weighting!J26),"lower",IF(AND(percentiles!$C$3&gt;S6B_num_weighting!I26,percentiles!$C$3&lt;S6B_num_weighting!J26),"upper","n/a"))</f>
        <v>n/a</v>
      </c>
      <c r="L26" s="4">
        <v>16</v>
      </c>
      <c r="M26" s="15">
        <f t="shared" si="2"/>
        <v>0.49796524136368081</v>
      </c>
      <c r="N26" s="15">
        <f t="shared" si="3"/>
        <v>0.5383202764982582</v>
      </c>
      <c r="O26" s="5" t="str">
        <f>IF(AND(percentiles!$C$2&gt;S6B_num_weighting!M26,percentiles!$C$2&lt;S6B_num_weighting!N26),"lower",IF(AND(percentiles!$C$3&gt;S6B_num_weighting!M26,percentiles!$C$3&lt;S6B_num_weighting!N26),"upper","n/a"))</f>
        <v>n/a</v>
      </c>
    </row>
    <row r="27" spans="1:15" x14ac:dyDescent="0.25">
      <c r="A27" s="4" t="s">
        <v>72</v>
      </c>
      <c r="B27" s="5" t="s">
        <v>80</v>
      </c>
      <c r="C27" s="10">
        <v>45170</v>
      </c>
      <c r="D27" s="15">
        <v>0.67270729660770356</v>
      </c>
      <c r="E27" s="15">
        <f t="shared" si="4"/>
        <v>4.0227104112268854E-2</v>
      </c>
      <c r="F27" s="15">
        <v>4.0621265281020648E-2</v>
      </c>
      <c r="G27" s="15">
        <v>4.6812089599022472E-2</v>
      </c>
      <c r="H27" s="4">
        <v>10</v>
      </c>
      <c r="I27" s="15">
        <f t="shared" si="0"/>
        <v>0.28045161442746092</v>
      </c>
      <c r="J27" s="15">
        <f t="shared" si="1"/>
        <v>0.32067871853972979</v>
      </c>
      <c r="K27" s="5" t="str">
        <f>IF(AND(percentiles!$C$2&gt;S6B_num_weighting!I27,percentiles!$C$2&lt;S6B_num_weighting!J27),"lower",IF(AND(percentiles!$C$3&gt;S6B_num_weighting!I27,percentiles!$C$3&lt;S6B_num_weighting!J27),"upper","n/a"))</f>
        <v>n/a</v>
      </c>
      <c r="L27" s="4">
        <v>6</v>
      </c>
      <c r="M27" s="15">
        <f t="shared" si="2"/>
        <v>0.18743038389133093</v>
      </c>
      <c r="N27" s="15">
        <f t="shared" si="3"/>
        <v>0.22765748800359978</v>
      </c>
      <c r="O27" s="5" t="str">
        <f>IF(AND(percentiles!$C$2&gt;S6B_num_weighting!M27,percentiles!$C$2&lt;S6B_num_weighting!N27),"lower",IF(AND(percentiles!$C$3&gt;S6B_num_weighting!M27,percentiles!$C$3&lt;S6B_num_weighting!N27),"upper","n/a"))</f>
        <v>n/a</v>
      </c>
    </row>
    <row r="28" spans="1:15" x14ac:dyDescent="0.25">
      <c r="A28" s="4" t="s">
        <v>73</v>
      </c>
      <c r="B28" s="5" t="s">
        <v>27</v>
      </c>
      <c r="C28" s="10">
        <v>43862</v>
      </c>
      <c r="D28" s="15">
        <v>0.37586547433134315</v>
      </c>
      <c r="E28" s="15">
        <f t="shared" si="4"/>
        <v>2.2476312720823115E-2</v>
      </c>
      <c r="F28" s="15">
        <v>0.10848441331114346</v>
      </c>
      <c r="G28" s="15">
        <v>0.2931158148211096</v>
      </c>
      <c r="H28" s="4">
        <v>23</v>
      </c>
      <c r="I28" s="15">
        <f t="shared" si="0"/>
        <v>0.71154311916715973</v>
      </c>
      <c r="J28" s="15">
        <f t="shared" si="1"/>
        <v>0.7340194318879828</v>
      </c>
      <c r="K28" s="5" t="str">
        <f>IF(AND(percentiles!$C$2&gt;S6B_num_weighting!I28,percentiles!$C$2&lt;S6B_num_weighting!J28),"lower",IF(AND(percentiles!$C$3&gt;S6B_num_weighting!I28,percentiles!$C$3&lt;S6B_num_weighting!J28),"upper","n/a"))</f>
        <v>n/a</v>
      </c>
      <c r="L28" s="4">
        <v>29</v>
      </c>
      <c r="M28" s="15">
        <f t="shared" si="2"/>
        <v>0.97752368727917682</v>
      </c>
      <c r="N28" s="15">
        <f t="shared" si="3"/>
        <v>0.99999999999999989</v>
      </c>
      <c r="O28" s="5" t="str">
        <f>IF(AND(percentiles!$C$2&gt;S6B_num_weighting!M28,percentiles!$C$2&lt;S6B_num_weighting!N28),"lower",IF(AND(percentiles!$C$3&gt;S6B_num_weighting!M28,percentiles!$C$3&lt;S6B_num_weighting!N28),"upper","n/a"))</f>
        <v>n/a</v>
      </c>
    </row>
    <row r="29" spans="1:15" x14ac:dyDescent="0.25">
      <c r="A29" s="4" t="s">
        <v>74</v>
      </c>
      <c r="B29" s="5" t="s">
        <v>27</v>
      </c>
      <c r="C29" s="10">
        <v>44256</v>
      </c>
      <c r="D29" s="15">
        <v>0.51198307622823036</v>
      </c>
      <c r="E29" s="15">
        <f t="shared" si="4"/>
        <v>3.0615985013112239E-2</v>
      </c>
      <c r="F29" s="15">
        <v>3.5063016497764402E-2</v>
      </c>
      <c r="G29" s="15">
        <v>4.206823173868756E-2</v>
      </c>
      <c r="H29" s="4">
        <v>6</v>
      </c>
      <c r="I29" s="15">
        <f t="shared" si="0"/>
        <v>0.16875041253805584</v>
      </c>
      <c r="J29" s="15">
        <f t="shared" si="1"/>
        <v>0.19936639755116808</v>
      </c>
      <c r="K29" s="5" t="str">
        <f>IF(AND(percentiles!$C$2&gt;S6B_num_weighting!I29,percentiles!$C$2&lt;S6B_num_weighting!J29),"lower",IF(AND(percentiles!$C$3&gt;S6B_num_weighting!I29,percentiles!$C$3&lt;S6B_num_weighting!J29),"upper","n/a"))</f>
        <v>n/a</v>
      </c>
      <c r="L29" s="4">
        <v>5</v>
      </c>
      <c r="M29" s="15">
        <f t="shared" si="2"/>
        <v>0.15681439887821869</v>
      </c>
      <c r="N29" s="15">
        <f t="shared" si="3"/>
        <v>0.18743038389133093</v>
      </c>
      <c r="O29" s="5" t="str">
        <f>IF(AND(percentiles!$C$2&gt;S6B_num_weighting!M29,percentiles!$C$2&lt;S6B_num_weighting!N29),"lower",IF(AND(percentiles!$C$3&gt;S6B_num_weighting!M29,percentiles!$C$3&lt;S6B_num_weighting!N29),"upper","n/a"))</f>
        <v>n/a</v>
      </c>
    </row>
    <row r="30" spans="1:15" x14ac:dyDescent="0.25">
      <c r="A30" s="4" t="s">
        <v>75</v>
      </c>
      <c r="B30" s="5" t="s">
        <v>78</v>
      </c>
      <c r="C30" s="10">
        <v>42795</v>
      </c>
      <c r="D30" s="15">
        <v>0.69124247316028475</v>
      </c>
      <c r="E30" s="15">
        <f t="shared" si="4"/>
        <v>4.1335485841856041E-2</v>
      </c>
      <c r="F30" s="15">
        <v>9.8810658087836803E-2</v>
      </c>
      <c r="G30" s="15">
        <v>0.11189659362533698</v>
      </c>
      <c r="H30" s="4">
        <v>21</v>
      </c>
      <c r="I30" s="15">
        <f t="shared" si="0"/>
        <v>0.64413775073726887</v>
      </c>
      <c r="J30" s="15">
        <f t="shared" si="1"/>
        <v>0.68547323657912496</v>
      </c>
      <c r="K30" s="5" t="str">
        <f>IF(AND(percentiles!$C$2&gt;S6B_num_weighting!I30,percentiles!$C$2&lt;S6B_num_weighting!J30),"lower",IF(AND(percentiles!$C$3&gt;S6B_num_weighting!I30,percentiles!$C$3&lt;S6B_num_weighting!J30),"upper","n/a"))</f>
        <v>upper</v>
      </c>
      <c r="L30" s="4">
        <v>19</v>
      </c>
      <c r="M30" s="15">
        <f t="shared" si="2"/>
        <v>0.59728950073934517</v>
      </c>
      <c r="N30" s="15">
        <f t="shared" si="3"/>
        <v>0.63862498658120126</v>
      </c>
      <c r="O30" s="5" t="str">
        <f>IF(AND(percentiles!$C$2&gt;S6B_num_weighting!M30,percentiles!$C$2&lt;S6B_num_weighting!N30),"lower",IF(AND(percentiles!$C$3&gt;S6B_num_weighting!M30,percentiles!$C$3&lt;S6B_num_weighting!N30),"upper","n/a"))</f>
        <v>n/a</v>
      </c>
    </row>
    <row r="31" spans="1:15" x14ac:dyDescent="0.25">
      <c r="E31" s="1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2A4CD8-F602-4E5F-BD76-FF327D94711F}">
  <sheetPr>
    <tabColor theme="9" tint="0.79998168889431442"/>
  </sheetPr>
  <dimension ref="A1:K3"/>
  <sheetViews>
    <sheetView workbookViewId="0">
      <pane xSplit="1" ySplit="1" topLeftCell="B2" activePane="bottomRight" state="frozen"/>
      <selection pane="topRight" activeCell="B1" sqref="B1"/>
      <selection pane="bottomLeft" activeCell="A2" sqref="A2"/>
      <selection pane="bottomRight"/>
    </sheetView>
  </sheetViews>
  <sheetFormatPr defaultRowHeight="15" x14ac:dyDescent="0.25"/>
  <cols>
    <col min="1" max="1" width="13.5703125" customWidth="1"/>
    <col min="2" max="2" width="22.140625" customWidth="1"/>
    <col min="3" max="3" width="19.5703125" customWidth="1"/>
    <col min="4" max="4" width="18" customWidth="1"/>
    <col min="5" max="5" width="20.5703125" customWidth="1"/>
    <col min="6" max="6" width="18.5703125" customWidth="1"/>
    <col min="7" max="7" width="22.140625" customWidth="1"/>
    <col min="8" max="8" width="20.140625" customWidth="1"/>
    <col min="9" max="9" width="18.42578125" customWidth="1"/>
    <col min="10" max="10" width="20.5703125" customWidth="1"/>
    <col min="11" max="11" width="18.5703125" customWidth="1"/>
  </cols>
  <sheetData>
    <row r="1" spans="1:11" ht="39.950000000000003" customHeight="1" x14ac:dyDescent="0.25">
      <c r="A1" s="12" t="s">
        <v>141</v>
      </c>
      <c r="B1" s="7" t="s">
        <v>142</v>
      </c>
      <c r="C1" s="7" t="s">
        <v>143</v>
      </c>
      <c r="D1" s="7" t="s">
        <v>144</v>
      </c>
      <c r="E1" s="7" t="s">
        <v>145</v>
      </c>
      <c r="F1" s="7" t="s">
        <v>146</v>
      </c>
      <c r="G1" s="7" t="s">
        <v>147</v>
      </c>
      <c r="H1" s="7" t="s">
        <v>148</v>
      </c>
      <c r="I1" s="7" t="s">
        <v>149</v>
      </c>
      <c r="J1" s="7" t="s">
        <v>150</v>
      </c>
      <c r="K1" s="7" t="s">
        <v>151</v>
      </c>
    </row>
    <row r="2" spans="1:11" x14ac:dyDescent="0.25">
      <c r="A2" s="33" t="s">
        <v>25</v>
      </c>
      <c r="B2" s="15" cm="1">
        <f t="array" ref="B2">IF($A2="lower",_xlfn.PERCENTILE.INC(IF(ISNUMBER(S6A_cohort_data!D:D),S6A_cohort_data!D:D),percentiles!$C$2),_xlfn.PERCENTILE.INC(IF(ISNUMBER(S6A_cohort_data!D:D),S6A_cohort_data!D:D),percentiles!$C$3))</f>
        <v>4.7684937586788406E-2</v>
      </c>
      <c r="C2" s="15" cm="1">
        <f t="array" ref="C2">IF($A2="lower",_xlfn.PERCENTILE.INC(IF(ISNUMBER(S6A_cohort_data!E:E),S6A_cohort_data!E:E),percentiles!$C$2),_xlfn.PERCENTILE.INC(IF(ISNUMBER(S6A_cohort_data!E:E),S6A_cohort_data!E:E),percentiles!$C$3))</f>
        <v>4.057917112756413E-2</v>
      </c>
      <c r="D2" s="15" cm="1">
        <f t="array" ref="D2">IF($A2="lower",_xlfn.PERCENTILE.INC(IF(ISNUMBER(S6A_cohort_data!F:F),S6A_cohort_data!F:F),percentiles!$C$2),_xlfn.PERCENTILE.INC(IF(ISNUMBER(S6A_cohort_data!F:F),S6A_cohort_data!F:F),percentiles!$C$3))</f>
        <v>4.2068973153247813E-2</v>
      </c>
      <c r="E2" s="15">
        <f>_xlfn.XLOOKUP($A2,S6B_num_weighting!$K:$K,S6B_num_weighting!$F:$F)</f>
        <v>4.2430900121304606E-2</v>
      </c>
      <c r="F2" s="15">
        <f t="shared" ref="F2:F3" si="0">IF($A2="lower",MAX(B2:E2),MIN(B2:E2))</f>
        <v>4.7684937586788406E-2</v>
      </c>
      <c r="G2" s="15" cm="1">
        <f t="array" ref="G2">IF($A2="lower",_xlfn.PERCENTILE.INC(IF(ISNUMBER(S6A_cohort_data!G:G),S6A_cohort_data!G:G),percentiles!$C$2),_xlfn.PERCENTILE.INC(IF(ISNUMBER(S6A_cohort_data!G:G),S6A_cohort_data!G:G),percentiles!$C$3))</f>
        <v>6.1216543580704712E-2</v>
      </c>
      <c r="H2" s="15" cm="1">
        <f t="array" ref="H2">IF($A2="lower",_xlfn.PERCENTILE.INC(IF(ISNUMBER(S6A_cohort_data!H:H),S6A_cohort_data!H:H),percentiles!$C$2),_xlfn.PERCENTILE.INC(IF(ISNUMBER(S6A_cohort_data!H:H),S6A_cohort_data!H:H),percentiles!$C$3))</f>
        <v>6.8871963790114399E-2</v>
      </c>
      <c r="I2" s="15" cm="1">
        <f t="array" ref="I2">IF($A2="lower",_xlfn.PERCENTILE.INC(IF(ISNUMBER(S6A_cohort_data!I:I),S6A_cohort_data!I:I),percentiles!$C$2),_xlfn.PERCENTILE.INC(IF(ISNUMBER(S6A_cohort_data!I:I),S6A_cohort_data!I:I),percentiles!$C$3))</f>
        <v>4.5602744028021648E-2</v>
      </c>
      <c r="J2" s="15">
        <f>_xlfn.XLOOKUP($A2,S6B_num_weighting!O:O,S6B_num_weighting!G:G)</f>
        <v>6.9004597054250938E-2</v>
      </c>
      <c r="K2" s="15">
        <f t="shared" ref="K2:K3" si="1">IF($A2="lower",MAX(G2:J2),MIN(G2:J2))</f>
        <v>6.9004597054250938E-2</v>
      </c>
    </row>
    <row r="3" spans="1:11" x14ac:dyDescent="0.25">
      <c r="A3" s="33" t="s">
        <v>26</v>
      </c>
      <c r="B3" s="15" cm="1">
        <f t="array" ref="B3">IF($A3="lower",_xlfn.PERCENTILE.INC(IF(ISNUMBER(S6A_cohort_data!D:D),S6A_cohort_data!D:D),percentiles!$C$2),_xlfn.PERCENTILE.INC(IF(ISNUMBER(S6A_cohort_data!D:D),S6A_cohort_data!D:D),percentiles!$C$3))</f>
        <v>0.10034806122656144</v>
      </c>
      <c r="C3" s="15" cm="1">
        <f t="array" ref="C3">IF($A3="lower",_xlfn.PERCENTILE.INC(IF(ISNUMBER(S6A_cohort_data!E:E),S6A_cohort_data!E:E),percentiles!$C$2),_xlfn.PERCENTILE.INC(IF(ISNUMBER(S6A_cohort_data!E:E),S6A_cohort_data!E:E),percentiles!$C$3))</f>
        <v>9.8856380421695131E-2</v>
      </c>
      <c r="D3" s="15" cm="1">
        <f t="array" ref="D3">IF($A3="lower",_xlfn.PERCENTILE.INC(IF(ISNUMBER(S6A_cohort_data!F:F),S6A_cohort_data!F:F),percentiles!$C$2),_xlfn.PERCENTILE.INC(IF(ISNUMBER(S6A_cohort_data!F:F),S6A_cohort_data!F:F),percentiles!$C$3))</f>
        <v>8.4389358777032214E-2</v>
      </c>
      <c r="E3" s="15">
        <f>_xlfn.XLOOKUP($A3,S6B_num_weighting!$K:$K,S6B_num_weighting!$F:$F)</f>
        <v>9.8810658087836803E-2</v>
      </c>
      <c r="F3" s="15">
        <f t="shared" si="0"/>
        <v>8.4389358777032214E-2</v>
      </c>
      <c r="G3" s="15" cm="1">
        <f t="array" ref="G3">IF($A3="lower",_xlfn.PERCENTILE.INC(IF(ISNUMBER(S6A_cohort_data!G:G),S6A_cohort_data!G:G),percentiles!$C$2),_xlfn.PERCENTILE.INC(IF(ISNUMBER(S6A_cohort_data!G:G),S6A_cohort_data!G:G),percentiles!$C$3))</f>
        <v>0.11259222415237757</v>
      </c>
      <c r="H3" s="15" cm="1">
        <f t="array" ref="H3">IF($A3="lower",_xlfn.PERCENTILE.INC(IF(ISNUMBER(S6A_cohort_data!H:H),S6A_cohort_data!H:H),percentiles!$C$2),_xlfn.PERCENTILE.INC(IF(ISNUMBER(S6A_cohort_data!H:H),S6A_cohort_data!H:H),percentiles!$C$3))</f>
        <v>0.11224440888885728</v>
      </c>
      <c r="I3" s="15" cm="1">
        <f t="array" ref="I3">IF($A3="lower",_xlfn.PERCENTILE.INC(IF(ISNUMBER(S6A_cohort_data!I:I),S6A_cohort_data!I:I),percentiles!$C$2),_xlfn.PERCENTILE.INC(IF(ISNUMBER(S6A_cohort_data!I:I),S6A_cohort_data!I:I),percentiles!$C$3))</f>
        <v>9.0070860448513243E-2</v>
      </c>
      <c r="J3" s="15">
        <f>_xlfn.XLOOKUP($A3,S6B_num_weighting!O:O,S6B_num_weighting!G:G)</f>
        <v>0.11702332242600069</v>
      </c>
      <c r="K3" s="15">
        <f t="shared" si="1"/>
        <v>9.0070860448513243E-2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268367-09F8-4C31-9B71-98F37CC73DD8}">
  <sheetPr>
    <tabColor theme="9" tint="0.79998168889431442"/>
  </sheetPr>
  <dimension ref="A1:H5"/>
  <sheetViews>
    <sheetView workbookViewId="0">
      <pane xSplit="2" ySplit="1" topLeftCell="C2" activePane="bottomRight" state="frozen"/>
      <selection activeCell="D6" sqref="D6"/>
      <selection pane="topRight" activeCell="D6" sqref="D6"/>
      <selection pane="bottomLeft" activeCell="D6" sqref="D6"/>
      <selection pane="bottomRight" activeCell="A2" sqref="A2"/>
    </sheetView>
  </sheetViews>
  <sheetFormatPr defaultRowHeight="15" x14ac:dyDescent="0.25"/>
  <cols>
    <col min="1" max="1" width="15.85546875" customWidth="1"/>
    <col min="2" max="2" width="11.5703125" customWidth="1"/>
    <col min="3" max="3" width="13.5703125" customWidth="1"/>
    <col min="4" max="4" width="24.42578125" customWidth="1"/>
    <col min="5" max="6" width="19.5703125" customWidth="1"/>
    <col min="7" max="8" width="23.5703125" customWidth="1"/>
  </cols>
  <sheetData>
    <row r="1" spans="1:8" ht="39.950000000000003" customHeight="1" x14ac:dyDescent="0.25">
      <c r="A1" s="6" t="s">
        <v>22</v>
      </c>
      <c r="B1" s="12" t="s">
        <v>141</v>
      </c>
      <c r="C1" s="7" t="s">
        <v>152</v>
      </c>
      <c r="D1" s="7" t="s">
        <v>153</v>
      </c>
      <c r="E1" s="7" t="s">
        <v>154</v>
      </c>
      <c r="F1" s="7" t="s">
        <v>155</v>
      </c>
      <c r="G1" s="7" t="s">
        <v>156</v>
      </c>
      <c r="H1" s="7" t="s">
        <v>157</v>
      </c>
    </row>
    <row r="2" spans="1:8" x14ac:dyDescent="0.25">
      <c r="A2" s="4" t="s">
        <v>27</v>
      </c>
      <c r="B2" s="4" t="s">
        <v>25</v>
      </c>
      <c r="C2" s="8">
        <v>47484</v>
      </c>
      <c r="D2" s="72">
        <v>0.99033179870586585</v>
      </c>
      <c r="E2" s="15">
        <f>_xlfn.XLOOKUP($B2,S6_intersection!$A:$A,S6_intersection!$F:$F)</f>
        <v>4.7684937586788406E-2</v>
      </c>
      <c r="F2" s="15">
        <f>_xlfn.XLOOKUP($B2,S6_intersection!$A:$A,S6_intersection!$K:$K)</f>
        <v>6.9004597054250938E-2</v>
      </c>
      <c r="G2" s="15">
        <f>E2*$D2</f>
        <v>4.7223910011501113E-2</v>
      </c>
      <c r="H2" s="15">
        <f>F2*$D2</f>
        <v>6.833744671970983E-2</v>
      </c>
    </row>
    <row r="3" spans="1:8" x14ac:dyDescent="0.25">
      <c r="A3" s="4" t="s">
        <v>27</v>
      </c>
      <c r="B3" s="4" t="s">
        <v>26</v>
      </c>
      <c r="C3" s="8">
        <v>47484</v>
      </c>
      <c r="D3" s="72">
        <v>0.99033179870586585</v>
      </c>
      <c r="E3" s="15">
        <f>_xlfn.XLOOKUP($B3,S6_intersection!$A:$A,S6_intersection!$F:$F)</f>
        <v>8.4389358777032214E-2</v>
      </c>
      <c r="F3" s="15">
        <f>_xlfn.XLOOKUP($B3,S6_intersection!$A:$A,S6_intersection!$K:$K)</f>
        <v>9.0070860448513243E-2</v>
      </c>
      <c r="G3" s="15">
        <f t="shared" ref="G3:G5" si="0">E3*$D3</f>
        <v>8.3573465469292965E-2</v>
      </c>
      <c r="H3" s="15">
        <f t="shared" ref="H3:H5" si="1">F3*$D3</f>
        <v>8.9200037238961152E-2</v>
      </c>
    </row>
    <row r="4" spans="1:8" x14ac:dyDescent="0.25">
      <c r="A4" s="4" t="s">
        <v>28</v>
      </c>
      <c r="B4" s="4" t="s">
        <v>25</v>
      </c>
      <c r="C4" s="8">
        <v>46922</v>
      </c>
      <c r="D4" s="72">
        <v>0.99033179870586585</v>
      </c>
      <c r="E4" s="15">
        <f>_xlfn.XLOOKUP($B4,S6_intersection!$A:$A,S6_intersection!$F:$F)</f>
        <v>4.7684937586788406E-2</v>
      </c>
      <c r="F4" s="15">
        <f>_xlfn.XLOOKUP($B4,S6_intersection!$A:$A,S6_intersection!$K:$K)</f>
        <v>6.9004597054250938E-2</v>
      </c>
      <c r="G4" s="15">
        <f t="shared" si="0"/>
        <v>4.7223910011501113E-2</v>
      </c>
      <c r="H4" s="15">
        <f t="shared" si="1"/>
        <v>6.833744671970983E-2</v>
      </c>
    </row>
    <row r="5" spans="1:8" x14ac:dyDescent="0.25">
      <c r="A5" s="4" t="s">
        <v>28</v>
      </c>
      <c r="B5" s="4" t="s">
        <v>26</v>
      </c>
      <c r="C5" s="8">
        <v>46922</v>
      </c>
      <c r="D5" s="72">
        <v>0.99033179870586585</v>
      </c>
      <c r="E5" s="15">
        <f>_xlfn.XLOOKUP($B5,S6_intersection!$A:$A,S6_intersection!$F:$F)</f>
        <v>8.4389358777032214E-2</v>
      </c>
      <c r="F5" s="15">
        <f>_xlfn.XLOOKUP($B5,S6_intersection!$A:$A,S6_intersection!$K:$K)</f>
        <v>9.0070860448513243E-2</v>
      </c>
      <c r="G5" s="15">
        <f t="shared" si="0"/>
        <v>8.3573465469292965E-2</v>
      </c>
      <c r="H5" s="15">
        <f t="shared" si="1"/>
        <v>8.9200037238961152E-2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0789B-C766-4ADB-9BE5-BA1B9A1AB7B0}">
  <sheetPr>
    <tabColor theme="9" tint="0.79998168889431442"/>
  </sheetPr>
  <dimension ref="A1:I5"/>
  <sheetViews>
    <sheetView workbookViewId="0">
      <pane xSplit="2" ySplit="1" topLeftCell="C2" activePane="bottomRight" state="frozen"/>
      <selection activeCell="E4" sqref="E4"/>
      <selection pane="topRight" activeCell="E4" sqref="E4"/>
      <selection pane="bottomLeft" activeCell="E4" sqref="E4"/>
      <selection pane="bottomRight"/>
    </sheetView>
  </sheetViews>
  <sheetFormatPr defaultRowHeight="15" x14ac:dyDescent="0.25"/>
  <cols>
    <col min="1" max="1" width="15.85546875" style="64" customWidth="1"/>
    <col min="2" max="2" width="11.5703125" style="65" customWidth="1"/>
    <col min="3" max="3" width="13.5703125" style="66" customWidth="1"/>
    <col min="4" max="4" width="18.140625" style="66" customWidth="1"/>
    <col min="5" max="5" width="14.5703125" style="66" customWidth="1"/>
    <col min="6" max="6" width="16.7109375" style="59" customWidth="1"/>
    <col min="7" max="7" width="16.5703125" style="59" customWidth="1"/>
    <col min="8" max="8" width="20.5703125" style="59" customWidth="1"/>
    <col min="9" max="9" width="20.42578125" style="59" customWidth="1"/>
  </cols>
  <sheetData>
    <row r="1" spans="1:9" ht="39.950000000000003" customHeight="1" x14ac:dyDescent="0.25">
      <c r="A1" s="67" t="s">
        <v>22</v>
      </c>
      <c r="B1" s="68" t="s">
        <v>141</v>
      </c>
      <c r="C1" s="60" t="s">
        <v>152</v>
      </c>
      <c r="D1" s="60" t="s">
        <v>37</v>
      </c>
      <c r="E1" s="60" t="s">
        <v>104</v>
      </c>
      <c r="F1" s="60" t="s">
        <v>156</v>
      </c>
      <c r="G1" s="60" t="s">
        <v>157</v>
      </c>
      <c r="H1" s="60" t="s">
        <v>158</v>
      </c>
      <c r="I1" s="60" t="s">
        <v>159</v>
      </c>
    </row>
    <row r="2" spans="1:9" x14ac:dyDescent="0.25">
      <c r="A2" s="64" t="s">
        <v>27</v>
      </c>
      <c r="B2" s="69" t="s">
        <v>25</v>
      </c>
      <c r="C2" s="70">
        <v>47484</v>
      </c>
      <c r="D2" s="70">
        <v>52778</v>
      </c>
      <c r="E2" s="71">
        <f>D2-C2+1</f>
        <v>5295</v>
      </c>
      <c r="F2" s="61">
        <v>4.7223910011501113E-2</v>
      </c>
      <c r="G2" s="61">
        <v>6.833744671970983E-2</v>
      </c>
      <c r="H2" s="61">
        <f>F2*((1-(1/(1+discount_rate!$C$3))^($E2))/(1-(1/(1+discount_rate!$C$3))^365))</f>
        <v>0.41842003133329941</v>
      </c>
      <c r="I2" s="61">
        <f>G2*((1-(1/(1+discount_rate!$C$3))^($E2))/(1-(1/(1+discount_rate!$C$3))^365))</f>
        <v>0.60549320441138443</v>
      </c>
    </row>
    <row r="3" spans="1:9" x14ac:dyDescent="0.25">
      <c r="A3" s="64" t="s">
        <v>27</v>
      </c>
      <c r="B3" s="69" t="s">
        <v>26</v>
      </c>
      <c r="C3" s="70">
        <v>47484</v>
      </c>
      <c r="D3" s="70">
        <v>52778</v>
      </c>
      <c r="E3" s="71">
        <f t="shared" ref="E3:E5" si="0">D3-C3+1</f>
        <v>5295</v>
      </c>
      <c r="F3" s="61">
        <v>8.3573465469292965E-2</v>
      </c>
      <c r="G3" s="61">
        <v>8.9200037238961152E-2</v>
      </c>
      <c r="H3" s="61">
        <f>F3*((1-(1/(1+discount_rate!$C$3))^($E3))/(1-(1/(1+discount_rate!$C$3))^365))</f>
        <v>0.74048955352865797</v>
      </c>
      <c r="I3" s="61">
        <f>G3*((1-(1/(1+discount_rate!$C$3))^($E3))/(1-(1/(1+discount_rate!$C$3))^365))</f>
        <v>0.79034290822949171</v>
      </c>
    </row>
    <row r="4" spans="1:9" x14ac:dyDescent="0.25">
      <c r="A4" s="64" t="s">
        <v>28</v>
      </c>
      <c r="B4" s="69" t="s">
        <v>25</v>
      </c>
      <c r="C4" s="70">
        <v>46922</v>
      </c>
      <c r="D4" s="70">
        <v>52778</v>
      </c>
      <c r="E4" s="71">
        <f t="shared" si="0"/>
        <v>5857</v>
      </c>
      <c r="F4" s="61">
        <v>4.7223910011501113E-2</v>
      </c>
      <c r="G4" s="61">
        <v>6.833744671970983E-2</v>
      </c>
      <c r="H4" s="61">
        <f>F4*((1-(1/(1+discount_rate!$C$3))^($E4))/(1-(1/(1+discount_rate!$C$3))^365))</f>
        <v>0.44023861324027441</v>
      </c>
      <c r="I4" s="61">
        <f>G4*((1-(1/(1+discount_rate!$C$3))^($E4))/(1-(1/(1+discount_rate!$C$3))^365))</f>
        <v>0.63706674794482754</v>
      </c>
    </row>
    <row r="5" spans="1:9" x14ac:dyDescent="0.25">
      <c r="A5" s="64" t="s">
        <v>28</v>
      </c>
      <c r="B5" s="69" t="s">
        <v>26</v>
      </c>
      <c r="C5" s="70">
        <v>46922</v>
      </c>
      <c r="D5" s="70">
        <v>52778</v>
      </c>
      <c r="E5" s="71">
        <f t="shared" si="0"/>
        <v>5857</v>
      </c>
      <c r="F5" s="61">
        <v>8.3573465469292965E-2</v>
      </c>
      <c r="G5" s="61">
        <v>8.9200037238961152E-2</v>
      </c>
      <c r="H5" s="61">
        <f>F5*((1-(1/(1+discount_rate!$C$3))^($E5))/(1-(1/(1+discount_rate!$C$3))^365))</f>
        <v>0.77910250406891235</v>
      </c>
      <c r="I5" s="61">
        <f>G5*((1-(1/(1+discount_rate!$C$3))^($E5))/(1-(1/(1+discount_rate!$C$3))^365))</f>
        <v>0.83155547021619514</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42EC3-9D60-4D8B-B55F-DDC382EB4E98}">
  <sheetPr>
    <tabColor theme="9" tint="0.79998168889431442"/>
  </sheetPr>
  <dimension ref="A1:L5"/>
  <sheetViews>
    <sheetView workbookViewId="0">
      <pane xSplit="2" ySplit="1" topLeftCell="C2" activePane="bottomRight" state="frozen"/>
      <selection activeCell="T44" sqref="T44"/>
      <selection pane="topRight" activeCell="T44" sqref="T44"/>
      <selection pane="bottomLeft" activeCell="T44" sqref="T44"/>
      <selection pane="bottomRight" activeCell="D51" sqref="D51"/>
    </sheetView>
  </sheetViews>
  <sheetFormatPr defaultColWidth="8.7109375" defaultRowHeight="15" x14ac:dyDescent="0.25"/>
  <cols>
    <col min="1" max="1" width="15.85546875" style="4" customWidth="1"/>
    <col min="2" max="2" width="11.5703125" style="4" customWidth="1"/>
    <col min="3" max="3" width="20.7109375" style="4" customWidth="1"/>
    <col min="4" max="4" width="20.85546875" style="4" customWidth="1"/>
    <col min="5" max="5" width="22.140625" style="4" customWidth="1"/>
    <col min="6" max="16384" width="8.7109375" style="4"/>
  </cols>
  <sheetData>
    <row r="1" spans="1:12" ht="39.950000000000003" customHeight="1" x14ac:dyDescent="0.25">
      <c r="A1" s="6" t="s">
        <v>22</v>
      </c>
      <c r="B1" s="12" t="s">
        <v>141</v>
      </c>
      <c r="C1" s="7" t="s">
        <v>158</v>
      </c>
      <c r="D1" s="7" t="s">
        <v>159</v>
      </c>
      <c r="E1" s="35" t="s">
        <v>160</v>
      </c>
      <c r="F1" s="7"/>
      <c r="G1" s="7"/>
      <c r="H1" s="7"/>
      <c r="I1" s="7"/>
      <c r="J1" s="7"/>
      <c r="K1" s="7"/>
      <c r="L1" s="7"/>
    </row>
    <row r="2" spans="1:12" x14ac:dyDescent="0.25">
      <c r="A2" s="4" t="s">
        <v>27</v>
      </c>
      <c r="B2" s="4" t="s">
        <v>25</v>
      </c>
      <c r="C2" s="15">
        <v>0.41842003133329941</v>
      </c>
      <c r="D2" s="15">
        <v>0.60549320441138443</v>
      </c>
      <c r="E2" s="15">
        <f t="shared" ref="E2:E5" si="0">IF(B2="lower",MAX($C2:$D2),MIN($C2:$D2))</f>
        <v>0.60549320441138443</v>
      </c>
    </row>
    <row r="3" spans="1:12" x14ac:dyDescent="0.25">
      <c r="A3" s="4" t="s">
        <v>27</v>
      </c>
      <c r="B3" s="4" t="s">
        <v>26</v>
      </c>
      <c r="C3" s="15">
        <v>0.74048955352865797</v>
      </c>
      <c r="D3" s="15">
        <v>0.79034290822949171</v>
      </c>
      <c r="E3" s="15">
        <f t="shared" si="0"/>
        <v>0.74048955352865797</v>
      </c>
    </row>
    <row r="4" spans="1:12" x14ac:dyDescent="0.25">
      <c r="A4" s="4" t="s">
        <v>28</v>
      </c>
      <c r="B4" s="4" t="s">
        <v>25</v>
      </c>
      <c r="C4" s="15">
        <v>0.44023861324027441</v>
      </c>
      <c r="D4" s="15">
        <v>0.63706674794482754</v>
      </c>
      <c r="E4" s="15">
        <f t="shared" si="0"/>
        <v>0.63706674794482754</v>
      </c>
    </row>
    <row r="5" spans="1:12" x14ac:dyDescent="0.25">
      <c r="A5" s="4" t="s">
        <v>28</v>
      </c>
      <c r="B5" s="4" t="s">
        <v>26</v>
      </c>
      <c r="C5" s="15">
        <v>0.77910250406891235</v>
      </c>
      <c r="D5" s="15">
        <v>0.83155547021619514</v>
      </c>
      <c r="E5" s="15">
        <f t="shared" si="0"/>
        <v>0.77910250406891235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312A608CC66EF46A94C5406789A67A5" ma:contentTypeVersion="18" ma:contentTypeDescription="Create a new document." ma:contentTypeScope="" ma:versionID="c70fa8bb632bc1a3aa3f374795b9dd8b">
  <xsd:schema xmlns:xsd="http://www.w3.org/2001/XMLSchema" xmlns:xs="http://www.w3.org/2001/XMLSchema" xmlns:p="http://schemas.microsoft.com/office/2006/metadata/properties" xmlns:ns2="dd7e4107-340f-49bc-b242-932585323802" xmlns:ns3="aaf5b1b8-7fa3-4132-a2ec-fb8a46b60ebe" targetNamespace="http://schemas.microsoft.com/office/2006/metadata/properties" ma:root="true" ma:fieldsID="1378d0875a7a5c1ba170ef745c32f716" ns2:_="" ns3:_="">
    <xsd:import namespace="dd7e4107-340f-49bc-b242-932585323802"/>
    <xsd:import namespace="aaf5b1b8-7fa3-4132-a2ec-fb8a46b60eb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SearchProperties" minOccurs="0"/>
                <xsd:element ref="ns2:MediaServiceObjectDetectorVersions"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7e4107-340f-49bc-b242-9325853238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Location" ma:index="25"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af5b1b8-7fa3-4132-a2ec-fb8a46b60eb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90b73f39-9b92-4bc0-bfc8-2ada248a5604}" ma:internalName="TaxCatchAll" ma:showField="CatchAllData" ma:web="aaf5b1b8-7fa3-4132-a2ec-fb8a46b60eb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d7e4107-340f-49bc-b242-932585323802">
      <Terms xmlns="http://schemas.microsoft.com/office/infopath/2007/PartnerControls"/>
    </lcf76f155ced4ddcb4097134ff3c332f>
    <TaxCatchAll xmlns="aaf5b1b8-7fa3-4132-a2ec-fb8a46b60eb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2E0F38C-ECD6-4399-8D7D-25F315F168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7e4107-340f-49bc-b242-932585323802"/>
    <ds:schemaRef ds:uri="aaf5b1b8-7fa3-4132-a2ec-fb8a46b60e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A877331-FF04-446B-9AC4-B27E131B84A4}">
  <ds:schemaRefs>
    <ds:schemaRef ds:uri="http://schemas.microsoft.com/office/2006/documentManagement/types"/>
    <ds:schemaRef ds:uri="aaf5b1b8-7fa3-4132-a2ec-fb8a46b60ebe"/>
    <ds:schemaRef ds:uri="dd7e4107-340f-49bc-b242-932585323802"/>
    <ds:schemaRef ds:uri="http://schemas.openxmlformats.org/package/2006/metadata/core-properties"/>
    <ds:schemaRef ds:uri="http://schemas.microsoft.com/office/2006/metadata/properties"/>
    <ds:schemaRef ds:uri="http://purl.org/dc/elements/1.1/"/>
    <ds:schemaRef ds:uri="http://purl.org/dc/dcmitype/"/>
    <ds:schemaRef ds:uri="http://schemas.microsoft.com/office/infopath/2007/PartnerControls"/>
    <ds:schemaRef ds:uri="http://www.w3.org/XML/1998/namespace"/>
    <ds:schemaRef ds:uri="http://purl.org/dc/terms/"/>
  </ds:schemaRefs>
</ds:datastoreItem>
</file>

<file path=customXml/itemProps3.xml><?xml version="1.0" encoding="utf-8"?>
<ds:datastoreItem xmlns:ds="http://schemas.openxmlformats.org/officeDocument/2006/customXml" ds:itemID="{0F01D5B3-7504-47FE-ABD2-BDDB347C7269}">
  <ds:schemaRefs>
    <ds:schemaRef ds:uri="http://schemas.microsoft.com/sharepoint/v3/contenttype/forms"/>
  </ds:schemaRefs>
</ds:datastoreItem>
</file>

<file path=docMetadata/LabelInfo.xml><?xml version="1.0" encoding="utf-8"?>
<clbl:labelList xmlns:clbl="http://schemas.microsoft.com/office/2020/mipLabelMetadata">
  <clbl:label id="{0dac7f39-d20c-4e71-8af3-71ee7e268a2b}" enabled="0" method="" siteId="{0dac7f39-d20c-4e71-8af3-71ee7e268a2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Introduction</vt:lpstr>
      <vt:lpstr>percentiles</vt:lpstr>
      <vt:lpstr>weight_thresholds</vt:lpstr>
      <vt:lpstr>discount_rate</vt:lpstr>
      <vt:lpstr>licence_dates</vt:lpstr>
      <vt:lpstr>aus_data</vt:lpstr>
      <vt:lpstr>exchange_rates</vt:lpstr>
      <vt:lpstr>MSR-MHz-pop_index</vt:lpstr>
      <vt:lpstr>S1_benchmark_data</vt:lpstr>
      <vt:lpstr>S2_duration</vt:lpstr>
      <vt:lpstr>S3_currency</vt:lpstr>
      <vt:lpstr>S4_timing</vt:lpstr>
      <vt:lpstr>S5_allocation_weights</vt:lpstr>
      <vt:lpstr>S6A_cohort_data</vt:lpstr>
      <vt:lpstr>S6A_cohort_analysis</vt:lpstr>
      <vt:lpstr>S6B_num_weighting</vt:lpstr>
      <vt:lpstr>S6_intersection</vt:lpstr>
      <vt:lpstr>S7_fwd_valuations</vt:lpstr>
      <vt:lpstr>S8_expand_duration</vt:lpstr>
      <vt:lpstr>S9_prelim_valuations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Bell</dc:creator>
  <cp:lastModifiedBy>Andrew Wallace</cp:lastModifiedBy>
  <dcterms:created xsi:type="dcterms:W3CDTF">2025-05-02T01:29:41Z</dcterms:created>
  <dcterms:modified xsi:type="dcterms:W3CDTF">2025-05-23T06:38:41Z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0x0101009312A608CC66EF46A94C5406789A67A5</vt:lpwstr>
  </property>
  <property fmtid="{D5CDD505-2E9C-101B-9397-08002B2CF9AE}" pid="3" name="MediaServiceImageTags">
    <vt:lpwstr/>
  </property>
</Properties>
</file>