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mc:AlternateContent xmlns:mc="http://schemas.openxmlformats.org/markup-compatibility/2006">
    <mc:Choice Requires="x15">
      <x15ac:absPath xmlns:x15ac="http://schemas.microsoft.com/office/spreadsheetml/2010/11/ac" url="https://acmagovau-my.sharepoint.com/personal/laura_bell2_acma_gov_au/Documents/Documents/Public spreadsheets editorial/"/>
    </mc:Choice>
  </mc:AlternateContent>
  <xr:revisionPtr revIDLastSave="0" documentId="8_{F6B5BA14-150E-4D64-B779-AB9D54FC786F}" xr6:coauthVersionLast="47" xr6:coauthVersionMax="47" xr10:uidLastSave="{00000000-0000-0000-0000-000000000000}"/>
  <bookViews>
    <workbookView xWindow="37320" yWindow="-120" windowWidth="51840" windowHeight="21240" xr2:uid="{E70499C1-1F0B-4AEF-BC74-9F50C5348EDF}"/>
  </bookViews>
  <sheets>
    <sheet name="Introduction" sheetId="1" r:id="rId1"/>
    <sheet name="percentiles" sheetId="2" r:id="rId2"/>
    <sheet name="weight_thresholds" sheetId="3" r:id="rId3"/>
    <sheet name="discount_rate" sheetId="4" r:id="rId4"/>
    <sheet name="licence_dates" sheetId="5" r:id="rId5"/>
    <sheet name="aus_data" sheetId="6" r:id="rId6"/>
    <sheet name="exchange_rates" sheetId="7" r:id="rId7"/>
    <sheet name="MSR-MHz-pop_index" sheetId="8" r:id="rId8"/>
    <sheet name="S1_benchmark_data" sheetId="9" r:id="rId9"/>
    <sheet name="S2_duration" sheetId="18" r:id="rId10"/>
    <sheet name="S3_currency" sheetId="19" r:id="rId11"/>
    <sheet name="S4_timing" sheetId="20" r:id="rId12"/>
    <sheet name="S5_allocation_weights" sheetId="11" r:id="rId13"/>
    <sheet name="S6A_cohort_data" sheetId="12" r:id="rId14"/>
    <sheet name="S6A_cohort_analysis" sheetId="13" r:id="rId15"/>
    <sheet name="S6B_num_weighting" sheetId="14" r:id="rId16"/>
    <sheet name="S6_intersection" sheetId="15" r:id="rId17"/>
    <sheet name="S7_fwd_valuations" sheetId="21" r:id="rId18"/>
    <sheet name="S8_expand_duration" sheetId="22" r:id="rId19"/>
    <sheet name="S9_prelim_valuations" sheetId="17" r:id="rId20"/>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H2" i="15" l="1" a="1"/>
  <c r="H2" i="15" s="1"/>
  <c r="I2" i="15" a="1"/>
  <c r="I2" i="15" s="1"/>
  <c r="H3" i="15" a="1"/>
  <c r="H3" i="15" s="1"/>
  <c r="I3" i="15" a="1"/>
  <c r="I3" i="15" s="1"/>
  <c r="G3" i="15" a="1"/>
  <c r="G3" i="15" s="1"/>
  <c r="G2" i="15" a="1"/>
  <c r="G2" i="15" s="1"/>
  <c r="D2" i="15" a="1"/>
  <c r="D2" i="15" s="1"/>
  <c r="D3" i="15" a="1"/>
  <c r="D3" i="15" s="1"/>
  <c r="C2" i="15" a="1"/>
  <c r="C2" i="15" s="1"/>
  <c r="C3" i="15" a="1"/>
  <c r="C3" i="15" s="1"/>
  <c r="B3" i="15" a="1"/>
  <c r="B3" i="15" s="1"/>
  <c r="B2" i="15" a="1"/>
  <c r="B2" i="15" s="1"/>
  <c r="H3" i="13" l="1" a="1"/>
  <c r="H3" i="13" s="1"/>
  <c r="H4" i="13" a="1"/>
  <c r="H4" i="13" s="1"/>
  <c r="H5" i="13" a="1"/>
  <c r="H5" i="13" s="1"/>
  <c r="H6" i="13" a="1"/>
  <c r="H6" i="13" s="1"/>
  <c r="H2" i="13" a="1"/>
  <c r="H2" i="13" s="1"/>
  <c r="G3" i="13" a="1"/>
  <c r="G3" i="13" s="1"/>
  <c r="G4" i="13" a="1"/>
  <c r="G4" i="13" s="1"/>
  <c r="G5" i="13" a="1"/>
  <c r="G5" i="13" s="1"/>
  <c r="G6" i="13" a="1"/>
  <c r="G6" i="13" s="1"/>
  <c r="G2" i="13" a="1"/>
  <c r="G2" i="13" s="1"/>
  <c r="F3" i="13" a="1"/>
  <c r="F3" i="13" s="1"/>
  <c r="F4" i="13" a="1"/>
  <c r="F4" i="13" s="1"/>
  <c r="F5" i="13" a="1"/>
  <c r="F5" i="13" s="1"/>
  <c r="F6" i="13" a="1"/>
  <c r="F6" i="13" s="1"/>
  <c r="F2" i="13" a="1"/>
  <c r="F2" i="13" s="1"/>
  <c r="E3" i="13" a="1"/>
  <c r="E3" i="13" s="1"/>
  <c r="E4" i="13" a="1"/>
  <c r="E4" i="13" s="1"/>
  <c r="E5" i="13" a="1"/>
  <c r="E5" i="13" s="1"/>
  <c r="E6" i="13" a="1"/>
  <c r="E6" i="13" s="1"/>
  <c r="E2" i="13" a="1"/>
  <c r="E2" i="13" s="1"/>
  <c r="D3" i="13" a="1"/>
  <c r="D3" i="13" s="1"/>
  <c r="D4" i="13" a="1"/>
  <c r="D4" i="13" s="1"/>
  <c r="D5" i="13" a="1"/>
  <c r="D5" i="13" s="1"/>
  <c r="D6" i="13" a="1"/>
  <c r="D6" i="13" s="1"/>
  <c r="D2" i="13" a="1"/>
  <c r="D2" i="13" s="1"/>
  <c r="C3" i="13" a="1"/>
  <c r="C3" i="13" s="1"/>
  <c r="C4" i="13" a="1"/>
  <c r="C4" i="13" s="1"/>
  <c r="C5" i="13" a="1"/>
  <c r="C5" i="13" s="1"/>
  <c r="C6" i="13" a="1"/>
  <c r="C6" i="13" s="1"/>
  <c r="C2" i="13" a="1"/>
  <c r="C2" i="13" s="1"/>
  <c r="B5" i="13"/>
  <c r="B3" i="13"/>
  <c r="I3" i="11" a="1"/>
  <c r="I3" i="11"/>
  <c r="I4" i="11" a="1"/>
  <c r="I4" i="11"/>
  <c r="I5" i="11" a="1"/>
  <c r="I5" i="11"/>
  <c r="I6" i="11" a="1"/>
  <c r="I6" i="11"/>
  <c r="I7" i="11" a="1"/>
  <c r="I7" i="11"/>
  <c r="I8" i="11" a="1"/>
  <c r="I8" i="11"/>
  <c r="I9" i="11" a="1"/>
  <c r="I9" i="11" s="1"/>
  <c r="I10" i="11" a="1"/>
  <c r="I10" i="11" s="1"/>
  <c r="I11" i="11" a="1"/>
  <c r="I11" i="11" s="1"/>
  <c r="I12" i="11" a="1"/>
  <c r="I12" i="11" s="1"/>
  <c r="I13" i="11" a="1"/>
  <c r="I13" i="11" s="1"/>
  <c r="I14" i="11" a="1"/>
  <c r="I14" i="11" s="1"/>
  <c r="I15" i="11" a="1"/>
  <c r="I15" i="11" s="1"/>
  <c r="I16" i="11" a="1"/>
  <c r="I16" i="11" s="1"/>
  <c r="I17" i="11" a="1"/>
  <c r="I17" i="11" s="1"/>
  <c r="I18" i="11" a="1"/>
  <c r="I18" i="11" s="1"/>
  <c r="I19" i="11" a="1"/>
  <c r="I19" i="11" s="1"/>
  <c r="I20" i="11" a="1"/>
  <c r="I20" i="11" s="1"/>
  <c r="I21" i="11" a="1"/>
  <c r="I21" i="11" s="1"/>
  <c r="I22" i="11" a="1"/>
  <c r="I22" i="11" s="1"/>
  <c r="I23" i="11" a="1"/>
  <c r="I23" i="11" s="1"/>
  <c r="I24" i="11" a="1"/>
  <c r="I24" i="11" s="1"/>
  <c r="I25" i="11" a="1"/>
  <c r="I25" i="11" s="1"/>
  <c r="I26" i="11" a="1"/>
  <c r="I26" i="11" s="1"/>
  <c r="I27" i="11" a="1"/>
  <c r="I27" i="11" s="1"/>
  <c r="I28" i="11" a="1"/>
  <c r="I28" i="11" s="1"/>
  <c r="I29" i="11" a="1"/>
  <c r="I29" i="11" s="1"/>
  <c r="I30" i="11" a="1"/>
  <c r="I30" i="11" s="1"/>
  <c r="I31" i="11" a="1"/>
  <c r="I31" i="11" s="1"/>
  <c r="I32" i="11" a="1"/>
  <c r="I32" i="11" s="1"/>
  <c r="I33" i="11" a="1"/>
  <c r="I33" i="11" s="1"/>
  <c r="I34" i="11" a="1"/>
  <c r="I34" i="11" s="1"/>
  <c r="I35" i="11" a="1"/>
  <c r="I35" i="11" s="1"/>
  <c r="I36" i="11" a="1"/>
  <c r="I36" i="11" s="1"/>
  <c r="I37" i="11" a="1"/>
  <c r="I37" i="11" s="1"/>
  <c r="I38" i="11" a="1"/>
  <c r="I38" i="11" s="1"/>
  <c r="I2" i="11" a="1"/>
  <c r="I2" i="11" s="1"/>
  <c r="H3" i="11" a="1"/>
  <c r="H3" i="11"/>
  <c r="H4" i="11" a="1"/>
  <c r="H4" i="11"/>
  <c r="H5" i="11" a="1"/>
  <c r="H5" i="11"/>
  <c r="H6" i="11" a="1"/>
  <c r="H6" i="11"/>
  <c r="H7" i="11" a="1"/>
  <c r="H7" i="11"/>
  <c r="H8" i="11" a="1"/>
  <c r="H8" i="11"/>
  <c r="H9" i="11" a="1"/>
  <c r="H9" i="11"/>
  <c r="H10" i="11" a="1"/>
  <c r="H10" i="11"/>
  <c r="H11" i="11" a="1"/>
  <c r="H11" i="11"/>
  <c r="H12" i="11" a="1"/>
  <c r="H12" i="11"/>
  <c r="H13" i="11" a="1"/>
  <c r="H13" i="11"/>
  <c r="H14" i="11" a="1"/>
  <c r="H14" i="11"/>
  <c r="H15" i="11" a="1"/>
  <c r="H15" i="11"/>
  <c r="H16" i="11" a="1"/>
  <c r="H16" i="11"/>
  <c r="H17" i="11" a="1"/>
  <c r="H17" i="11"/>
  <c r="H18" i="11" a="1"/>
  <c r="H18" i="11"/>
  <c r="H19" i="11" a="1"/>
  <c r="H19" i="11"/>
  <c r="H20" i="11" a="1"/>
  <c r="H20" i="11"/>
  <c r="H21" i="11" a="1"/>
  <c r="H21" i="11"/>
  <c r="H22" i="11" a="1"/>
  <c r="H22" i="11"/>
  <c r="H23" i="11" a="1"/>
  <c r="H23" i="11"/>
  <c r="H24" i="11" a="1"/>
  <c r="H24" i="11"/>
  <c r="H25" i="11" a="1"/>
  <c r="H25" i="11"/>
  <c r="H26" i="11" a="1"/>
  <c r="H26" i="11"/>
  <c r="H27" i="11" a="1"/>
  <c r="H27" i="11"/>
  <c r="H28" i="11" a="1"/>
  <c r="H28" i="11"/>
  <c r="H29" i="11" a="1"/>
  <c r="H29" i="11"/>
  <c r="H30" i="11" a="1"/>
  <c r="H30" i="11"/>
  <c r="H31" i="11" a="1"/>
  <c r="H31" i="11"/>
  <c r="H32" i="11" a="1"/>
  <c r="H32" i="11"/>
  <c r="H33" i="11" a="1"/>
  <c r="H33" i="11"/>
  <c r="H34" i="11" a="1"/>
  <c r="H34" i="11"/>
  <c r="H35" i="11" a="1"/>
  <c r="H35" i="11" s="1"/>
  <c r="H36" i="11" a="1"/>
  <c r="H36" i="11"/>
  <c r="H37" i="11" a="1"/>
  <c r="H37" i="11"/>
  <c r="H38" i="11" a="1"/>
  <c r="H38" i="11" s="1"/>
  <c r="H2" i="11" a="1"/>
  <c r="H2" i="11" s="1"/>
  <c r="G3" i="11" a="1"/>
  <c r="G3" i="11" s="1"/>
  <c r="J3" i="11" s="1"/>
  <c r="G4" i="11" a="1"/>
  <c r="G4" i="11" s="1"/>
  <c r="J4" i="11" s="1"/>
  <c r="G5" i="11" a="1"/>
  <c r="G5" i="11" s="1"/>
  <c r="J5" i="11" s="1"/>
  <c r="G6" i="11" a="1"/>
  <c r="G6" i="11" s="1"/>
  <c r="J6" i="11" s="1"/>
  <c r="G7" i="11" a="1"/>
  <c r="G7" i="11" s="1"/>
  <c r="J7" i="11" s="1"/>
  <c r="G8" i="11" a="1"/>
  <c r="G8" i="11"/>
  <c r="J8" i="11" s="1"/>
  <c r="G9" i="11" a="1"/>
  <c r="G9" i="11" s="1"/>
  <c r="J9" i="11" s="1"/>
  <c r="G10" i="11" a="1"/>
  <c r="G10" i="11" s="1"/>
  <c r="J10" i="11" s="1"/>
  <c r="G11" i="11" a="1"/>
  <c r="G11" i="11" s="1"/>
  <c r="G12" i="11" a="1"/>
  <c r="G12" i="11" s="1"/>
  <c r="G13" i="11" a="1"/>
  <c r="G13" i="11" s="1"/>
  <c r="J13" i="11" s="1"/>
  <c r="G14" i="11" a="1"/>
  <c r="G14" i="11" s="1"/>
  <c r="J14" i="11" s="1"/>
  <c r="G15" i="11" a="1"/>
  <c r="G15" i="11" s="1"/>
  <c r="J15" i="11" s="1"/>
  <c r="G16" i="11" a="1"/>
  <c r="G16" i="11" s="1"/>
  <c r="J16" i="11" s="1"/>
  <c r="G17" i="11" a="1"/>
  <c r="G17" i="11" s="1"/>
  <c r="J17" i="11" s="1"/>
  <c r="G18" i="11" a="1"/>
  <c r="G18" i="11" s="1"/>
  <c r="J18" i="11" s="1"/>
  <c r="G19" i="11" a="1"/>
  <c r="G19" i="11" s="1"/>
  <c r="J19" i="11" s="1"/>
  <c r="G20" i="11" a="1"/>
  <c r="G20" i="11" s="1"/>
  <c r="J20" i="11" s="1"/>
  <c r="G21" i="11" a="1"/>
  <c r="G21" i="11" s="1"/>
  <c r="J21" i="11" s="1"/>
  <c r="G22" i="11" a="1"/>
  <c r="G22" i="11" s="1"/>
  <c r="J22" i="11" s="1"/>
  <c r="G23" i="11" a="1"/>
  <c r="G23" i="11" s="1"/>
  <c r="G24" i="11" a="1"/>
  <c r="G24" i="11" s="1"/>
  <c r="G25" i="11" a="1"/>
  <c r="G25" i="11" s="1"/>
  <c r="J25" i="11" s="1"/>
  <c r="G26" i="11" a="1"/>
  <c r="G26" i="11" s="1"/>
  <c r="J26" i="11" s="1"/>
  <c r="G27" i="11" a="1"/>
  <c r="G27" i="11" s="1"/>
  <c r="J27" i="11" s="1"/>
  <c r="G28" i="11" a="1"/>
  <c r="G28" i="11" s="1"/>
  <c r="J28" i="11" s="1"/>
  <c r="G29" i="11" a="1"/>
  <c r="G29" i="11"/>
  <c r="J29" i="11" s="1"/>
  <c r="G30" i="11" a="1"/>
  <c r="G30" i="11"/>
  <c r="J30" i="11" s="1"/>
  <c r="G31" i="11" a="1"/>
  <c r="G31" i="11"/>
  <c r="J31" i="11" s="1"/>
  <c r="G32" i="11" a="1"/>
  <c r="G32" i="11"/>
  <c r="G33" i="11" a="1"/>
  <c r="G33" i="11"/>
  <c r="G34" i="11" a="1"/>
  <c r="G34" i="11" s="1"/>
  <c r="G35" i="11" a="1"/>
  <c r="G35" i="11" s="1"/>
  <c r="G36" i="11" a="1"/>
  <c r="G36" i="11" s="1"/>
  <c r="G37" i="11" a="1"/>
  <c r="G37" i="11" s="1"/>
  <c r="J37" i="11" s="1"/>
  <c r="G38" i="11" a="1"/>
  <c r="G38" i="11" s="1"/>
  <c r="J38" i="11" s="1"/>
  <c r="G2" i="11" a="1"/>
  <c r="G2" i="11" s="1"/>
  <c r="J2" i="11" s="1"/>
  <c r="J23" i="11" l="1"/>
  <c r="J11" i="11"/>
  <c r="J36" i="11"/>
  <c r="J35" i="11"/>
  <c r="J34" i="11"/>
  <c r="J33" i="11"/>
  <c r="J32" i="11"/>
  <c r="J24" i="11"/>
  <c r="J12" i="11"/>
  <c r="J30" i="8"/>
  <c r="I30" i="8"/>
  <c r="I29" i="8"/>
  <c r="J29" i="8" s="1"/>
  <c r="I28" i="8"/>
  <c r="J28" i="8" s="1"/>
  <c r="I27" i="8"/>
  <c r="J27" i="8" s="1"/>
  <c r="I26" i="8"/>
  <c r="J26" i="8" s="1"/>
  <c r="I25" i="8"/>
  <c r="J25" i="8" s="1"/>
  <c r="I24" i="8"/>
  <c r="J24" i="8" s="1"/>
  <c r="I23" i="8"/>
  <c r="J23" i="8" s="1"/>
  <c r="I22" i="8"/>
  <c r="J22" i="8" s="1"/>
  <c r="I21" i="8"/>
  <c r="J21" i="8" s="1"/>
  <c r="I20" i="8"/>
  <c r="J20" i="8" s="1"/>
  <c r="B30" i="8"/>
  <c r="E30" i="8"/>
  <c r="F30" i="8" s="1"/>
  <c r="G30" i="8" s="1"/>
  <c r="B29" i="8"/>
  <c r="E29" i="8" s="1"/>
  <c r="B28" i="8"/>
  <c r="E28" i="8" s="1"/>
  <c r="B27" i="8"/>
  <c r="E27" i="8" s="1"/>
  <c r="F29" i="8" s="1"/>
  <c r="B26" i="8"/>
  <c r="E26" i="8" s="1"/>
  <c r="F28" i="8" s="1"/>
  <c r="B25" i="8"/>
  <c r="E25" i="8" s="1"/>
  <c r="F27" i="8" s="1"/>
  <c r="B24" i="8"/>
  <c r="E24" i="8" s="1"/>
  <c r="F26" i="8" s="1"/>
  <c r="B23" i="8"/>
  <c r="E23" i="8" s="1"/>
  <c r="E22" i="8"/>
  <c r="E21" i="8"/>
  <c r="E20" i="8"/>
  <c r="F22" i="8" s="1"/>
  <c r="G22" i="8" s="1"/>
  <c r="E19" i="8"/>
  <c r="F21" i="8" s="1"/>
  <c r="G21" i="8" s="1"/>
  <c r="E18" i="8"/>
  <c r="E17" i="8"/>
  <c r="E16" i="8"/>
  <c r="F18" i="8" s="1"/>
  <c r="E15" i="8"/>
  <c r="F17" i="8" s="1"/>
  <c r="E14" i="8"/>
  <c r="E13" i="8"/>
  <c r="E12" i="8"/>
  <c r="F14" i="8" s="1"/>
  <c r="E11" i="8"/>
  <c r="F13" i="8" s="1"/>
  <c r="E10" i="8"/>
  <c r="E9" i="8"/>
  <c r="E8" i="8"/>
  <c r="F10" i="8" s="1"/>
  <c r="G10" i="8" s="1"/>
  <c r="E7" i="8"/>
  <c r="F9" i="8" s="1"/>
  <c r="G9" i="8" s="1"/>
  <c r="E6" i="8"/>
  <c r="E5" i="8"/>
  <c r="E4" i="8"/>
  <c r="F6" i="8" s="1"/>
  <c r="E3" i="8"/>
  <c r="F5" i="8" s="1"/>
  <c r="E2" i="8"/>
  <c r="F4" i="8" s="1"/>
  <c r="G13" i="8" l="1"/>
  <c r="F25" i="8"/>
  <c r="G25" i="8" s="1"/>
  <c r="F24" i="8"/>
  <c r="G24" i="8" s="1"/>
  <c r="F23" i="8"/>
  <c r="G23" i="8" s="1"/>
  <c r="G14" i="8"/>
  <c r="G26" i="8"/>
  <c r="G27" i="8"/>
  <c r="G4" i="8"/>
  <c r="G28" i="8"/>
  <c r="G5" i="8"/>
  <c r="G17" i="8"/>
  <c r="G29" i="8"/>
  <c r="G6" i="8"/>
  <c r="G18" i="8"/>
  <c r="F7" i="8"/>
  <c r="G7" i="8" s="1"/>
  <c r="F11" i="8"/>
  <c r="G11" i="8" s="1"/>
  <c r="F15" i="8"/>
  <c r="G15" i="8" s="1"/>
  <c r="F19" i="8"/>
  <c r="G19" i="8" s="1"/>
  <c r="F8" i="8"/>
  <c r="G8" i="8" s="1"/>
  <c r="F12" i="8"/>
  <c r="G12" i="8" s="1"/>
  <c r="F16" i="8"/>
  <c r="G16" i="8" s="1"/>
  <c r="F20" i="8"/>
  <c r="G20" i="8" s="1"/>
  <c r="E3" i="22" l="1"/>
  <c r="E4" i="22"/>
  <c r="E5" i="22"/>
  <c r="E2" i="22"/>
  <c r="G3" i="18"/>
  <c r="G4" i="18"/>
  <c r="G5" i="18"/>
  <c r="G6" i="18"/>
  <c r="G7" i="18"/>
  <c r="G8" i="18"/>
  <c r="G9" i="18"/>
  <c r="G10" i="18"/>
  <c r="G11" i="18"/>
  <c r="G12" i="18"/>
  <c r="G13" i="18"/>
  <c r="G14" i="18"/>
  <c r="G15" i="18"/>
  <c r="G16" i="18"/>
  <c r="G17" i="18"/>
  <c r="G18" i="18"/>
  <c r="G19" i="18"/>
  <c r="G20" i="18"/>
  <c r="G21" i="18"/>
  <c r="G22" i="18"/>
  <c r="G23" i="18"/>
  <c r="G24" i="18"/>
  <c r="G25" i="18"/>
  <c r="G26" i="18"/>
  <c r="G27" i="18"/>
  <c r="G28" i="18"/>
  <c r="G29" i="18"/>
  <c r="G30" i="18"/>
  <c r="G31" i="18"/>
  <c r="G32" i="18"/>
  <c r="G33" i="18"/>
  <c r="G34" i="18"/>
  <c r="G35" i="18"/>
  <c r="G36" i="18"/>
  <c r="G37" i="18"/>
  <c r="G38" i="18"/>
  <c r="G2" i="18"/>
  <c r="D3" i="18"/>
  <c r="D4" i="18"/>
  <c r="D5" i="18"/>
  <c r="D6" i="18"/>
  <c r="D7" i="18"/>
  <c r="D8" i="18"/>
  <c r="D9" i="18"/>
  <c r="D10" i="18"/>
  <c r="D11" i="18"/>
  <c r="D12" i="18"/>
  <c r="D13" i="18"/>
  <c r="D14" i="18"/>
  <c r="D15" i="18"/>
  <c r="D16" i="18"/>
  <c r="D17" i="18"/>
  <c r="D18" i="18"/>
  <c r="D19" i="18"/>
  <c r="D20" i="18"/>
  <c r="D21" i="18"/>
  <c r="D22" i="18"/>
  <c r="D23" i="18"/>
  <c r="D24" i="18"/>
  <c r="D25" i="18"/>
  <c r="D26" i="18"/>
  <c r="D27" i="18"/>
  <c r="D28" i="18"/>
  <c r="D29" i="18"/>
  <c r="D30" i="18"/>
  <c r="D31" i="18"/>
  <c r="D32" i="18"/>
  <c r="D33" i="18"/>
  <c r="D34" i="18"/>
  <c r="D35" i="18"/>
  <c r="D36" i="18"/>
  <c r="D37" i="18"/>
  <c r="D38" i="18"/>
  <c r="D2" i="18"/>
  <c r="D30" i="19" l="1"/>
  <c r="D18" i="19"/>
  <c r="D6" i="19"/>
  <c r="D29" i="19"/>
  <c r="D17" i="19"/>
  <c r="D5" i="19"/>
  <c r="D28" i="19"/>
  <c r="D16" i="19"/>
  <c r="D4" i="19"/>
  <c r="D37" i="19"/>
  <c r="D2" i="19"/>
  <c r="D27" i="19"/>
  <c r="D15" i="19"/>
  <c r="D3" i="19"/>
  <c r="D36" i="19"/>
  <c r="D24" i="19"/>
  <c r="D12" i="19"/>
  <c r="D38" i="19"/>
  <c r="D26" i="19"/>
  <c r="D14" i="19"/>
  <c r="D13" i="19"/>
  <c r="D35" i="19"/>
  <c r="D23" i="19"/>
  <c r="D11" i="19"/>
  <c r="D25" i="19"/>
  <c r="D34" i="19"/>
  <c r="D22" i="19"/>
  <c r="D10" i="19"/>
  <c r="D33" i="19"/>
  <c r="D21" i="19"/>
  <c r="D9" i="19"/>
  <c r="D32" i="19"/>
  <c r="D20" i="19"/>
  <c r="D8" i="19"/>
  <c r="D31" i="19"/>
  <c r="D19" i="19"/>
  <c r="D7" i="19"/>
  <c r="E3" i="14"/>
  <c r="E4" i="14"/>
  <c r="E5" i="14"/>
  <c r="E6" i="14"/>
  <c r="E7" i="14"/>
  <c r="E8" i="14"/>
  <c r="E9" i="14"/>
  <c r="E10" i="14"/>
  <c r="E11" i="14"/>
  <c r="E12" i="14"/>
  <c r="E13" i="14"/>
  <c r="E14" i="14"/>
  <c r="E15" i="14"/>
  <c r="E16" i="14"/>
  <c r="E17" i="14"/>
  <c r="E18" i="14"/>
  <c r="E19" i="14"/>
  <c r="E20" i="14"/>
  <c r="E21" i="14"/>
  <c r="E22" i="14"/>
  <c r="E23" i="14"/>
  <c r="E24" i="14"/>
  <c r="E25" i="14"/>
  <c r="E26" i="14"/>
  <c r="E27" i="14"/>
  <c r="E28" i="14"/>
  <c r="E29" i="14"/>
  <c r="E30" i="14"/>
  <c r="E31" i="14"/>
  <c r="E32" i="14"/>
  <c r="E33" i="14"/>
  <c r="E34" i="14"/>
  <c r="E35" i="14"/>
  <c r="E36" i="14"/>
  <c r="E37" i="14"/>
  <c r="E38" i="14"/>
  <c r="E2" i="14"/>
  <c r="D10" i="20" l="1"/>
  <c r="D22" i="20"/>
  <c r="D34" i="20"/>
  <c r="D11" i="20"/>
  <c r="D23" i="20"/>
  <c r="D35" i="20"/>
  <c r="D12" i="20"/>
  <c r="D24" i="20"/>
  <c r="D36" i="20"/>
  <c r="D13" i="20"/>
  <c r="D25" i="20"/>
  <c r="D37" i="20"/>
  <c r="D14" i="20"/>
  <c r="D26" i="20"/>
  <c r="D38" i="20"/>
  <c r="D3" i="20"/>
  <c r="D15" i="20"/>
  <c r="D27" i="20"/>
  <c r="D2" i="20"/>
  <c r="D4" i="20"/>
  <c r="D16" i="20"/>
  <c r="D28" i="20"/>
  <c r="D5" i="20"/>
  <c r="D17" i="20"/>
  <c r="D29" i="20"/>
  <c r="D6" i="20"/>
  <c r="D18" i="20"/>
  <c r="D30" i="20"/>
  <c r="D7" i="20"/>
  <c r="D19" i="20"/>
  <c r="D31" i="20"/>
  <c r="D8" i="20"/>
  <c r="D20" i="20"/>
  <c r="D32" i="20"/>
  <c r="D9" i="20"/>
  <c r="D21" i="20"/>
  <c r="D33" i="20"/>
  <c r="G3" i="9"/>
  <c r="G4" i="9"/>
  <c r="G5" i="9"/>
  <c r="G6" i="9"/>
  <c r="G7" i="9"/>
  <c r="G8" i="9"/>
  <c r="G9" i="9"/>
  <c r="G10" i="9"/>
  <c r="G11" i="9"/>
  <c r="G12" i="9"/>
  <c r="G13" i="9"/>
  <c r="G14" i="9"/>
  <c r="G15" i="9"/>
  <c r="G16" i="9"/>
  <c r="G17" i="9"/>
  <c r="G18" i="9"/>
  <c r="G19" i="9"/>
  <c r="G20" i="9"/>
  <c r="G21" i="9"/>
  <c r="G22" i="9"/>
  <c r="G23" i="9"/>
  <c r="G24" i="9"/>
  <c r="G25" i="9"/>
  <c r="G26" i="9"/>
  <c r="G27" i="9"/>
  <c r="G28" i="9"/>
  <c r="G29" i="9"/>
  <c r="G30" i="9"/>
  <c r="G31" i="9"/>
  <c r="G32" i="9"/>
  <c r="G33" i="9"/>
  <c r="G34" i="9"/>
  <c r="G35" i="9"/>
  <c r="G36" i="9"/>
  <c r="G37" i="9"/>
  <c r="G38" i="9"/>
  <c r="G2" i="9"/>
  <c r="F3" i="9"/>
  <c r="F4" i="9"/>
  <c r="F5" i="9"/>
  <c r="F6" i="9"/>
  <c r="F7" i="9"/>
  <c r="F8" i="9"/>
  <c r="F9" i="9"/>
  <c r="F10" i="9"/>
  <c r="F11" i="9"/>
  <c r="F12" i="9"/>
  <c r="F13" i="9"/>
  <c r="F14" i="9"/>
  <c r="F15" i="9"/>
  <c r="F16" i="9"/>
  <c r="F17" i="9"/>
  <c r="F18" i="9"/>
  <c r="F19" i="9"/>
  <c r="F20" i="9"/>
  <c r="F21" i="9"/>
  <c r="F22" i="9"/>
  <c r="F23" i="9"/>
  <c r="F24" i="9"/>
  <c r="F25" i="9"/>
  <c r="F26" i="9"/>
  <c r="F27" i="9"/>
  <c r="F28" i="9"/>
  <c r="F29" i="9"/>
  <c r="F30" i="9"/>
  <c r="F31" i="9"/>
  <c r="F32" i="9"/>
  <c r="F33" i="9"/>
  <c r="F34" i="9"/>
  <c r="F35" i="9"/>
  <c r="F36" i="9"/>
  <c r="F37" i="9"/>
  <c r="F38" i="9"/>
  <c r="F2" i="9"/>
  <c r="D3" i="5"/>
  <c r="D2" i="5"/>
  <c r="F2" i="19" l="1"/>
  <c r="F13" i="19"/>
  <c r="F14" i="19"/>
  <c r="F23" i="19"/>
  <c r="F19" i="19"/>
  <c r="F28" i="19"/>
  <c r="F7" i="19"/>
  <c r="F3" i="19"/>
  <c r="F11" i="19"/>
  <c r="F26" i="19"/>
  <c r="F24" i="19"/>
  <c r="F33" i="19"/>
  <c r="F32" i="19"/>
  <c r="F34" i="19"/>
  <c r="F22" i="19"/>
  <c r="F38" i="19"/>
  <c r="F37" i="19"/>
  <c r="F31" i="19"/>
  <c r="F29" i="19"/>
  <c r="F16" i="19"/>
  <c r="F21" i="19"/>
  <c r="F18" i="19"/>
  <c r="F17" i="19"/>
  <c r="F10" i="19"/>
  <c r="F9" i="19"/>
  <c r="F8" i="19"/>
  <c r="F5" i="19"/>
  <c r="G5" i="19" l="1"/>
  <c r="I5" i="7"/>
  <c r="G2" i="19"/>
  <c r="I2" i="7"/>
  <c r="I19" i="7"/>
  <c r="G19" i="19"/>
  <c r="G9" i="19"/>
  <c r="I9" i="7"/>
  <c r="G14" i="19"/>
  <c r="I14" i="7"/>
  <c r="F27" i="19"/>
  <c r="I34" i="7"/>
  <c r="G34" i="19" s="1"/>
  <c r="I36" i="7"/>
  <c r="I38" i="7"/>
  <c r="G38" i="19" s="1"/>
  <c r="I37" i="7"/>
  <c r="G37" i="19" s="1"/>
  <c r="F25" i="19"/>
  <c r="F15" i="19"/>
  <c r="G32" i="19"/>
  <c r="I32" i="7"/>
  <c r="G30" i="19"/>
  <c r="I18" i="7"/>
  <c r="G18" i="19"/>
  <c r="G25" i="19"/>
  <c r="G22" i="19"/>
  <c r="I22" i="7"/>
  <c r="F12" i="19"/>
  <c r="G11" i="19"/>
  <c r="I11" i="7"/>
  <c r="G16" i="19"/>
  <c r="I16" i="7"/>
  <c r="F35" i="19"/>
  <c r="G24" i="19"/>
  <c r="I24" i="7"/>
  <c r="G21" i="19"/>
  <c r="I21" i="7"/>
  <c r="F36" i="19"/>
  <c r="G33" i="19"/>
  <c r="I33" i="7"/>
  <c r="G15" i="19"/>
  <c r="G13" i="19"/>
  <c r="I13" i="7"/>
  <c r="G26" i="19"/>
  <c r="I26" i="7"/>
  <c r="G8" i="19"/>
  <c r="I8" i="7"/>
  <c r="G6" i="19"/>
  <c r="F4" i="19"/>
  <c r="G28" i="19"/>
  <c r="I28" i="7"/>
  <c r="G10" i="19"/>
  <c r="I10" i="7"/>
  <c r="I31" i="7"/>
  <c r="G31" i="19"/>
  <c r="G29" i="19"/>
  <c r="I29" i="7"/>
  <c r="G12" i="19"/>
  <c r="G20" i="19"/>
  <c r="I23" i="7"/>
  <c r="G23" i="19" s="1"/>
  <c r="F6" i="19"/>
  <c r="F20" i="19"/>
  <c r="I35" i="7"/>
  <c r="I7" i="7"/>
  <c r="G7" i="19"/>
  <c r="G27" i="19"/>
  <c r="G17" i="19"/>
  <c r="I17" i="7"/>
  <c r="F30" i="19"/>
  <c r="I15" i="7" l="1"/>
  <c r="I25" i="7"/>
  <c r="I12" i="7"/>
  <c r="I27" i="7"/>
  <c r="I6" i="7"/>
  <c r="I30" i="7"/>
  <c r="I20" i="7"/>
  <c r="I3" i="7"/>
  <c r="G4" i="19"/>
  <c r="I4" i="7"/>
  <c r="G36" i="19"/>
  <c r="G35" i="19"/>
  <c r="G3" i="19" l="1"/>
  <c r="H2" i="20" l="1"/>
  <c r="I5" i="20"/>
  <c r="I17" i="20"/>
  <c r="I29" i="20"/>
  <c r="H4" i="20"/>
  <c r="H16" i="20"/>
  <c r="H28" i="20"/>
  <c r="I6" i="20"/>
  <c r="I18" i="20"/>
  <c r="I30" i="20"/>
  <c r="H5" i="20"/>
  <c r="H17" i="20"/>
  <c r="H29" i="20"/>
  <c r="I33" i="20"/>
  <c r="H8" i="20"/>
  <c r="H20" i="20"/>
  <c r="I7" i="20"/>
  <c r="I19" i="20"/>
  <c r="I31" i="20"/>
  <c r="H6" i="20"/>
  <c r="H18" i="20"/>
  <c r="H30" i="20"/>
  <c r="I21" i="20"/>
  <c r="I8" i="20"/>
  <c r="I20" i="20"/>
  <c r="I32" i="20"/>
  <c r="H7" i="20"/>
  <c r="H19" i="20"/>
  <c r="H31" i="20"/>
  <c r="I9" i="20"/>
  <c r="H32" i="20"/>
  <c r="I10" i="20"/>
  <c r="I22" i="20"/>
  <c r="I34" i="20"/>
  <c r="H9" i="20"/>
  <c r="H21" i="20"/>
  <c r="H33" i="20"/>
  <c r="I11" i="20"/>
  <c r="I23" i="20"/>
  <c r="I35" i="20"/>
  <c r="H10" i="20"/>
  <c r="H22" i="20"/>
  <c r="H34" i="20"/>
  <c r="I12" i="20"/>
  <c r="I24" i="20"/>
  <c r="I36" i="20"/>
  <c r="H11" i="20"/>
  <c r="H23" i="20"/>
  <c r="H35" i="20"/>
  <c r="I13" i="20"/>
  <c r="I25" i="20"/>
  <c r="I37" i="20"/>
  <c r="H12" i="20"/>
  <c r="H24" i="20"/>
  <c r="H36" i="20"/>
  <c r="I14" i="20"/>
  <c r="I26" i="20"/>
  <c r="I38" i="20"/>
  <c r="H13" i="20"/>
  <c r="H25" i="20"/>
  <c r="H37" i="20"/>
  <c r="I16" i="20"/>
  <c r="I3" i="20"/>
  <c r="I15" i="20"/>
  <c r="I27" i="20"/>
  <c r="I2" i="20"/>
  <c r="H14" i="20"/>
  <c r="H26" i="20"/>
  <c r="H38" i="20"/>
  <c r="I4" i="20"/>
  <c r="I28" i="20"/>
  <c r="H3" i="20"/>
  <c r="H15" i="20"/>
  <c r="H27" i="20"/>
  <c r="M2" i="14" l="1"/>
  <c r="N2" i="14" s="1"/>
  <c r="M29" i="14"/>
  <c r="N29" i="14" s="1"/>
  <c r="O29" i="14" s="1"/>
  <c r="M19" i="14"/>
  <c r="N19" i="14" s="1"/>
  <c r="O19" i="14" s="1"/>
  <c r="M17" i="14"/>
  <c r="N17" i="14" s="1"/>
  <c r="O17" i="14" s="1"/>
  <c r="M5" i="14"/>
  <c r="N5" i="14" s="1"/>
  <c r="M30" i="14"/>
  <c r="N30" i="14" s="1"/>
  <c r="O30" i="14" s="1"/>
  <c r="M24" i="14"/>
  <c r="M10" i="14"/>
  <c r="N10" i="14" s="1"/>
  <c r="O10" i="14" s="1"/>
  <c r="M31" i="14"/>
  <c r="N31" i="14" s="1"/>
  <c r="O31" i="14" s="1"/>
  <c r="M25" i="14"/>
  <c r="N25" i="14" s="1"/>
  <c r="O25" i="14" s="1"/>
  <c r="M32" i="14"/>
  <c r="N32" i="14" s="1"/>
  <c r="O32" i="14" s="1"/>
  <c r="M20" i="14"/>
  <c r="M18" i="14"/>
  <c r="N18" i="14" s="1"/>
  <c r="O18" i="14" s="1"/>
  <c r="M12" i="14"/>
  <c r="N12" i="14" s="1"/>
  <c r="O12" i="14" s="1"/>
  <c r="M4" i="14"/>
  <c r="M28" i="14"/>
  <c r="N28" i="14" s="1"/>
  <c r="O28" i="14" s="1"/>
  <c r="M7" i="14"/>
  <c r="N7" i="14" s="1"/>
  <c r="M8" i="14"/>
  <c r="M6" i="14"/>
  <c r="N6" i="14" s="1"/>
  <c r="M3" i="14"/>
  <c r="N3" i="14" s="1"/>
  <c r="M27" i="14"/>
  <c r="M38" i="14"/>
  <c r="N38" i="14" s="1"/>
  <c r="M26" i="14"/>
  <c r="N26" i="14" s="1"/>
  <c r="M35" i="14"/>
  <c r="N35" i="14" s="1"/>
  <c r="O35" i="14" s="1"/>
  <c r="M14" i="14"/>
  <c r="N14" i="14" s="1"/>
  <c r="O14" i="14" s="1"/>
  <c r="M23" i="14"/>
  <c r="N23" i="14" s="1"/>
  <c r="M16" i="14"/>
  <c r="N16" i="14" s="1"/>
  <c r="O16" i="14" s="1"/>
  <c r="M13" i="14"/>
  <c r="N13" i="14" s="1"/>
  <c r="M15" i="14"/>
  <c r="M33" i="14"/>
  <c r="N33" i="14" s="1"/>
  <c r="O33" i="14" s="1"/>
  <c r="M34" i="14"/>
  <c r="N34" i="14" s="1"/>
  <c r="M21" i="14"/>
  <c r="N21" i="14" s="1"/>
  <c r="O21" i="14" s="1"/>
  <c r="M11" i="14"/>
  <c r="N11" i="14" s="1"/>
  <c r="M37" i="14"/>
  <c r="N37" i="14" s="1"/>
  <c r="O37" i="14" s="1"/>
  <c r="M36" i="14"/>
  <c r="N36" i="14" s="1"/>
  <c r="O36" i="14" s="1"/>
  <c r="M22" i="14"/>
  <c r="N22" i="14" s="1"/>
  <c r="O22" i="14" s="1"/>
  <c r="M9" i="14"/>
  <c r="N9" i="14" s="1"/>
  <c r="O9" i="14" s="1"/>
  <c r="I15" i="14" l="1"/>
  <c r="J15" i="14" s="1"/>
  <c r="K15" i="14" s="1"/>
  <c r="O2" i="14"/>
  <c r="O11" i="14"/>
  <c r="I26" i="14"/>
  <c r="J26" i="14" s="1"/>
  <c r="K26" i="14" s="1"/>
  <c r="I20" i="14"/>
  <c r="J20" i="14" s="1"/>
  <c r="K20" i="14" s="1"/>
  <c r="I33" i="14"/>
  <c r="J33" i="14" s="1"/>
  <c r="K33" i="14" s="1"/>
  <c r="I14" i="14"/>
  <c r="J14" i="14" s="1"/>
  <c r="K14" i="14" s="1"/>
  <c r="O26" i="14"/>
  <c r="O5" i="14"/>
  <c r="I13" i="14"/>
  <c r="J13" i="14" s="1"/>
  <c r="K13" i="14" s="1"/>
  <c r="I11" i="14"/>
  <c r="J11" i="14" s="1"/>
  <c r="K11" i="14" s="1"/>
  <c r="I2" i="14"/>
  <c r="J2" i="14" s="1"/>
  <c r="K2" i="14" s="1"/>
  <c r="I37" i="14"/>
  <c r="J37" i="14" s="1"/>
  <c r="K37" i="14" s="1"/>
  <c r="I9" i="14"/>
  <c r="J9" i="14" s="1"/>
  <c r="K9" i="14" s="1"/>
  <c r="I22" i="14"/>
  <c r="J22" i="14" s="1"/>
  <c r="K22" i="14" s="1"/>
  <c r="I7" i="14"/>
  <c r="O23" i="14"/>
  <c r="I28" i="14"/>
  <c r="O38" i="14"/>
  <c r="I6" i="14"/>
  <c r="I10" i="14"/>
  <c r="J10" i="14" s="1"/>
  <c r="K10" i="14" s="1"/>
  <c r="I8" i="14"/>
  <c r="J8" i="14" s="1"/>
  <c r="K8" i="14" s="1"/>
  <c r="I17" i="14"/>
  <c r="J17" i="14" s="1"/>
  <c r="K17" i="14" s="1"/>
  <c r="I24" i="14"/>
  <c r="J24" i="14" s="1"/>
  <c r="I27" i="14"/>
  <c r="I30" i="14"/>
  <c r="I29" i="14"/>
  <c r="J29" i="14" s="1"/>
  <c r="K29" i="14" s="1"/>
  <c r="I32" i="14"/>
  <c r="I3" i="14"/>
  <c r="J3" i="14" s="1"/>
  <c r="K3" i="14" s="1"/>
  <c r="I19" i="14"/>
  <c r="J19" i="14" s="1"/>
  <c r="K19" i="14" s="1"/>
  <c r="I12" i="14"/>
  <c r="I38" i="14"/>
  <c r="J38" i="14" s="1"/>
  <c r="K38" i="14" s="1"/>
  <c r="I25" i="14"/>
  <c r="J25" i="14" s="1"/>
  <c r="K25" i="14" s="1"/>
  <c r="I35" i="14"/>
  <c r="J35" i="14" s="1"/>
  <c r="I21" i="14"/>
  <c r="J21" i="14" s="1"/>
  <c r="K21" i="14" s="1"/>
  <c r="N4" i="14"/>
  <c r="O4" i="14" s="1"/>
  <c r="I5" i="14"/>
  <c r="I31" i="14"/>
  <c r="J31" i="14" s="1"/>
  <c r="K31" i="14" s="1"/>
  <c r="N20" i="14"/>
  <c r="O20" i="14" s="1"/>
  <c r="I18" i="14"/>
  <c r="J18" i="14" s="1"/>
  <c r="K18" i="14" s="1"/>
  <c r="I23" i="14"/>
  <c r="J23" i="14" s="1"/>
  <c r="K23" i="14" s="1"/>
  <c r="O34" i="14"/>
  <c r="I16" i="14"/>
  <c r="I36" i="14"/>
  <c r="O7" i="14"/>
  <c r="I34" i="14"/>
  <c r="I4" i="14"/>
  <c r="N15" i="14"/>
  <c r="O15" i="14" s="1"/>
  <c r="N27" i="14"/>
  <c r="O27" i="14" s="1"/>
  <c r="O3" i="14"/>
  <c r="O13" i="14"/>
  <c r="O6" i="14"/>
  <c r="N8" i="14"/>
  <c r="O8" i="14" s="1"/>
  <c r="N24" i="14"/>
  <c r="O24" i="14" s="1"/>
  <c r="K35" i="14" l="1"/>
  <c r="K24" i="14"/>
  <c r="J30" i="14"/>
  <c r="K30" i="14" s="1"/>
  <c r="J4" i="14"/>
  <c r="K4" i="14" s="1"/>
  <c r="J27" i="14"/>
  <c r="K27" i="14" s="1"/>
  <c r="J3" i="15"/>
  <c r="K3" i="15" s="1"/>
  <c r="F5" i="21" s="1"/>
  <c r="H5" i="21" s="1"/>
  <c r="J36" i="14"/>
  <c r="K36" i="14" s="1"/>
  <c r="J16" i="14"/>
  <c r="K16" i="14"/>
  <c r="J6" i="14"/>
  <c r="K6" i="14" s="1"/>
  <c r="J12" i="14"/>
  <c r="K12" i="14" s="1"/>
  <c r="J28" i="14"/>
  <c r="K28" i="14" s="1"/>
  <c r="J34" i="14"/>
  <c r="K34" i="14" s="1"/>
  <c r="J32" i="14"/>
  <c r="K32" i="14" s="1"/>
  <c r="J7" i="14"/>
  <c r="K7" i="14" s="1"/>
  <c r="J2" i="15"/>
  <c r="K2" i="15" s="1"/>
  <c r="F4" i="21" s="1"/>
  <c r="H4" i="21" s="1"/>
  <c r="J5" i="14"/>
  <c r="K5" i="14" s="1"/>
  <c r="F2" i="21" l="1"/>
  <c r="H2" i="21" s="1"/>
  <c r="F3" i="21"/>
  <c r="H3" i="21" s="1"/>
  <c r="E3" i="15"/>
  <c r="F3" i="15" s="1"/>
  <c r="E2" i="15"/>
  <c r="F2" i="15" s="1"/>
  <c r="E5" i="21" l="1"/>
  <c r="G5" i="21" s="1"/>
  <c r="H2" i="22" s="1"/>
  <c r="E3" i="21"/>
  <c r="G3" i="21" s="1"/>
  <c r="E4" i="21"/>
  <c r="G4" i="21" s="1"/>
  <c r="E2" i="21"/>
  <c r="G2" i="21" s="1"/>
  <c r="E4" i="17" l="1"/>
  <c r="H4" i="22"/>
  <c r="H3" i="22"/>
  <c r="I5" i="22"/>
  <c r="I4" i="22"/>
  <c r="H5" i="22"/>
  <c r="I2" i="22"/>
  <c r="I3" i="22"/>
  <c r="E5" i="17" l="1"/>
  <c r="E2" i="17"/>
  <c r="E3" i="17"/>
</calcChain>
</file>

<file path=xl/metadata.xml><?xml version="1.0" encoding="utf-8"?>
<metadata xmlns="http://schemas.openxmlformats.org/spreadsheetml/2006/main" xmlns:xlrd="http://schemas.microsoft.com/office/spreadsheetml/2017/richdata" xmlns:xda="http://schemas.microsoft.com/office/spreadsheetml/2017/dynamicarray">
  <metadataTypes count="2">
    <metadataType name="XLDAPR" minSupportedVersion="120000" copy="1" pasteAll="1" pasteValues="1" merge="1" splitFirst="1" rowColShift="1" clearFormats="1" clearComments="1" assign="1" coerce="1" cellMeta="1"/>
    <metadataType name="XLRICHVALUE" minSupportedVersion="120000" copy="1" pasteAll="1" pasteValues="1" merge="1" splitFirst="1" rowColShift="1" clearFormats="1" clearComments="1" assign="1" coerce="1"/>
  </metadataTypes>
  <futureMetadata name="XLDAPR" count="1">
    <bk>
      <extLst>
        <ext uri="{bdbb8cdc-fa1e-496e-a857-3c3f30c029c3}">
          <xda:dynamicArrayProperties fDynamic="1" fCollapsed="0"/>
        </ext>
      </extLst>
    </bk>
  </futureMetadata>
  <futureMetadata name="XLRICHVALUE" count="1">
    <bk>
      <extLst>
        <ext uri="{3e2802c4-a4d2-4d8b-9148-e3be6c30e623}">
          <xlrd:rvb i="0"/>
        </ext>
      </extLst>
    </bk>
  </futureMetadata>
  <cellMetadata count="1">
    <bk>
      <rc t="1" v="0"/>
    </bk>
  </cellMetadata>
  <valueMetadata count="1">
    <bk>
      <rc t="2" v="0"/>
    </bk>
  </valueMetadata>
</metadata>
</file>

<file path=xl/sharedStrings.xml><?xml version="1.0" encoding="utf-8"?>
<sst xmlns="http://schemas.openxmlformats.org/spreadsheetml/2006/main" count="1066" uniqueCount="186">
  <si>
    <t>Worksheet</t>
  </si>
  <si>
    <t>Description</t>
  </si>
  <si>
    <t>percentiles</t>
  </si>
  <si>
    <t>weight_thresholds</t>
  </si>
  <si>
    <t>Provides the weight thresholds that determine whether a benchmark price should be included in a cohort (e.g. the weight for population density must be above 0.1 for a benchmark to be included in the population density cohort).</t>
  </si>
  <si>
    <t>discount_rate</t>
  </si>
  <si>
    <t>licence_dates</t>
  </si>
  <si>
    <t>aus_data</t>
  </si>
  <si>
    <t>MSR-MHz-pop_index</t>
  </si>
  <si>
    <t>S1_benchmark_data</t>
  </si>
  <si>
    <t>The basic data for each benchmark price used. It includes allocation, timing and price details for each benchmark.</t>
  </si>
  <si>
    <t>S5_allocation_weights</t>
  </si>
  <si>
    <t>S6A_cohort_data</t>
  </si>
  <si>
    <t>S6A_cohort_analysis</t>
  </si>
  <si>
    <t>S6B_num_weighting</t>
  </si>
  <si>
    <t>S6C_intersection</t>
  </si>
  <si>
    <t>S9_prelim_valuations</t>
  </si>
  <si>
    <t>band_group</t>
  </si>
  <si>
    <t>percentile_bound</t>
  </si>
  <si>
    <t>value</t>
  </si>
  <si>
    <t>lower</t>
  </si>
  <si>
    <t>upper</t>
  </si>
  <si>
    <t>weight</t>
  </si>
  <si>
    <t>threshold</t>
  </si>
  <si>
    <t>Real GDP per capita (US$)</t>
  </si>
  <si>
    <t># of MNOs</t>
  </si>
  <si>
    <t>Population density</t>
  </si>
  <si>
    <t>discount_rate_type</t>
  </si>
  <si>
    <t>discount_rate_duration</t>
  </si>
  <si>
    <t>WACC</t>
  </si>
  <si>
    <t>annual</t>
  </si>
  <si>
    <t>daily</t>
  </si>
  <si>
    <t>band</t>
  </si>
  <si>
    <t>licence_start_date</t>
  </si>
  <si>
    <t>licence_end_date</t>
  </si>
  <si>
    <t>no_of_days</t>
  </si>
  <si>
    <t>1800 MHz</t>
  </si>
  <si>
    <t>2 GHz</t>
  </si>
  <si>
    <t>year</t>
  </si>
  <si>
    <t>metric</t>
  </si>
  <si>
    <t>source</t>
  </si>
  <si>
    <t>aus_value</t>
  </si>
  <si>
    <t>World Bank, "World Development Indicators". Series Code NY.GDP.PCAP.KD (GDP per capita (constant 2015 US$)).</t>
  </si>
  <si>
    <t>ACMA</t>
  </si>
  <si>
    <t>World Bank, "World Development Indicators". Series Code EN.POP.DNST (Population density (people per sq. km of land area)).</t>
  </si>
  <si>
    <t>World Bank, "World Development Indicators". Series Code EN.POP.DNST (Population density (people per sq. km of land area)).
Value implied based on growth between 2022 and 2023 in Series Code SP.POP.TOTL (Population, total).</t>
  </si>
  <si>
    <t>Spot exchange rate</t>
  </si>
  <si>
    <t>World Bank, "World Development Indicators". Series Code PA.NUS.FCRF (Official exchange rate (LCU per US$, period average)).</t>
  </si>
  <si>
    <t>PPP exchange rate</t>
  </si>
  <si>
    <t>World Bank, "World Development Indicators". Series Code PA.NUS.PPP (PPP conversion factor, GDP (LCU per international $)).</t>
  </si>
  <si>
    <t>country</t>
  </si>
  <si>
    <t>spectrum_band</t>
  </si>
  <si>
    <t>allocation_year</t>
  </si>
  <si>
    <t>licence_start_date_year</t>
  </si>
  <si>
    <t>worldbank_spot</t>
  </si>
  <si>
    <t>worldbank_spot_AUD</t>
  </si>
  <si>
    <t>worldbank_PPP</t>
  </si>
  <si>
    <t>worldbank_PPP_AUD</t>
  </si>
  <si>
    <t>spot_PPP_ratio_AUD</t>
  </si>
  <si>
    <t>currency_used</t>
  </si>
  <si>
    <t>spot_exchange_rate_used</t>
  </si>
  <si>
    <t>PPP_exchange_rate_used</t>
  </si>
  <si>
    <t>Australia</t>
  </si>
  <si>
    <t>Belgium</t>
  </si>
  <si>
    <t>2.1 GHz</t>
  </si>
  <si>
    <t>Canada</t>
  </si>
  <si>
    <t>Croatia</t>
  </si>
  <si>
    <t>Czechia</t>
  </si>
  <si>
    <t>Denmark</t>
  </si>
  <si>
    <t>1.8 GHz</t>
  </si>
  <si>
    <t>France</t>
  </si>
  <si>
    <t>Germany</t>
  </si>
  <si>
    <t>1.5 GHz</t>
  </si>
  <si>
    <t>Greece</t>
  </si>
  <si>
    <t>Hungary</t>
  </si>
  <si>
    <t>Italy</t>
  </si>
  <si>
    <t>Norway</t>
  </si>
  <si>
    <t>Poland</t>
  </si>
  <si>
    <t>Portugal</t>
  </si>
  <si>
    <t>Slovenia</t>
  </si>
  <si>
    <t>Spain</t>
  </si>
  <si>
    <t>Sweden</t>
  </si>
  <si>
    <t>United States</t>
  </si>
  <si>
    <t>1.995 GHz</t>
  </si>
  <si>
    <t xml:space="preserve">1.7-2.2 GHz </t>
  </si>
  <si>
    <t>Uruguay</t>
  </si>
  <si>
    <t>1.7-2.2 GHz</t>
  </si>
  <si>
    <t>1900 MHz</t>
  </si>
  <si>
    <t>allocation_month</t>
  </si>
  <si>
    <t>duration_years</t>
  </si>
  <si>
    <t>duration_days</t>
  </si>
  <si>
    <t>total_revenue_local</t>
  </si>
  <si>
    <t>price-MHz-pop_local</t>
  </si>
  <si>
    <t>EUR</t>
  </si>
  <si>
    <t>USD</t>
  </si>
  <si>
    <t>local</t>
  </si>
  <si>
    <t>financial_year</t>
  </si>
  <si>
    <t>mobile_service_revenue_millions</t>
  </si>
  <si>
    <t>spectrum_holdings_MHz</t>
  </si>
  <si>
    <t>national_population_juneqtr_millions</t>
  </si>
  <si>
    <t>MSR-MHz-pop</t>
  </si>
  <si>
    <t>MSR-MHz-pop_3yr_avg</t>
  </si>
  <si>
    <t>MSR-MHz-pop_3yr_avg_base2025</t>
  </si>
  <si>
    <t>MSR-MHz-pop_weighted</t>
  </si>
  <si>
    <t>MSR-MHz-pop_weighted_3yr_avg</t>
  </si>
  <si>
    <t>MSR-MHz-pop_weighted_3yr_avg_base2025</t>
  </si>
  <si>
    <t>N/A</t>
  </si>
  <si>
    <t>365day_price-MHz-pop_local</t>
  </si>
  <si>
    <t>365day_price-MHz-pop_AUD_spot-FX</t>
  </si>
  <si>
    <t>365day_price-MHz-pop_AUD_PPP-FX</t>
  </si>
  <si>
    <t>MSR-MHz-pop_index_value</t>
  </si>
  <si>
    <t>365day_price-MHz-pop_AUD_spot-FX_2025</t>
  </si>
  <si>
    <t>365day_price-MHz-pop_AUD_PPP-FX_2025</t>
  </si>
  <si>
    <t>GDP_per_capita_value</t>
  </si>
  <si>
    <t>no_of_MNOs_value</t>
  </si>
  <si>
    <t>popdensity_value</t>
  </si>
  <si>
    <t>GDP_per_capita_weight</t>
  </si>
  <si>
    <t>no_of_MNOs_weight</t>
  </si>
  <si>
    <t>popdensity_weight</t>
  </si>
  <si>
    <t>avg_allocation_weight</t>
  </si>
  <si>
    <t>GDP_per_capita_spot-FX_cohort</t>
  </si>
  <si>
    <t>no_of_MNOs_spot-FX_cohort</t>
  </si>
  <si>
    <t>popdensity_spot-FX_cohort</t>
  </si>
  <si>
    <t>GDP_per_capita_PPP-FX_cohort</t>
  </si>
  <si>
    <t>no_of_MNOs_PPP-FX_cohort</t>
  </si>
  <si>
    <t>popdensity_PPP-FX_cohort</t>
  </si>
  <si>
    <t>cohort_stat</t>
  </si>
  <si>
    <t>minimum</t>
  </si>
  <si>
    <t>median</t>
  </si>
  <si>
    <t>maximum</t>
  </si>
  <si>
    <t>weight_pct_contribution</t>
  </si>
  <si>
    <t>365day_price-MHz-pop_AUDspot2025</t>
  </si>
  <si>
    <t>365day_price-MHz-pop_AUDPPP2025</t>
  </si>
  <si>
    <t>rank_ascending_spot-FX</t>
  </si>
  <si>
    <t>rank_ascending_PPP-FX</t>
  </si>
  <si>
    <t>lower_percentile_spot-FX</t>
  </si>
  <si>
    <t>upper_percentile_spot-FX</t>
  </si>
  <si>
    <t>lower_percentile_PPP-FX</t>
  </si>
  <si>
    <t>upper_percentile_PPP-FX</t>
  </si>
  <si>
    <t>numweighting_bounds_spot-FX</t>
  </si>
  <si>
    <t>numweighting_bounds_PPP-FX</t>
  </si>
  <si>
    <t>bound</t>
  </si>
  <si>
    <t>GDP_per_capita_cohort_spot-FX</t>
  </si>
  <si>
    <t>no_of_MNOs_cohort_spot-FX</t>
  </si>
  <si>
    <t>popdensity_cohort_spot-FX</t>
  </si>
  <si>
    <t>numweighting_spot-FX</t>
  </si>
  <si>
    <t>combined_spot-FX</t>
  </si>
  <si>
    <t>GDP_per_capita_cohort_PPP-FX</t>
  </si>
  <si>
    <t>no_of_MNOs_cohort_PPP-FX</t>
  </si>
  <si>
    <t>popdensity_cohort_PPP-FX</t>
  </si>
  <si>
    <t>numweighting_PPP-FX</t>
  </si>
  <si>
    <t>combined_PPP-FX</t>
  </si>
  <si>
    <t>start_date</t>
  </si>
  <si>
    <t>MSR-MHz-pop_index_weighted_value</t>
  </si>
  <si>
    <t>365day_2025_spot-FX</t>
  </si>
  <si>
    <t>365day_2025_PPP-FX</t>
  </si>
  <si>
    <t>365day_startdate_spot-FX</t>
  </si>
  <si>
    <t>365day_startdate_PPP-FX</t>
  </si>
  <si>
    <t>fullduration_startdate_spot-FX</t>
  </si>
  <si>
    <t>fullduration_startdate_PPP-FX</t>
  </si>
  <si>
    <t>Lower 1-3 GHz</t>
  </si>
  <si>
    <t>preliminary_price_range</t>
  </si>
  <si>
    <t>Provides the lower and upper bounds of the percentile ranges used to find the preliminary price range(s) for the group of bands.</t>
  </si>
  <si>
    <t>Provides the annual and daily weighted average cost of capital (WACC) rates used for valuation adjustments for different licence durations.</t>
  </si>
  <si>
    <t>Provides the start and end dates for licence renewals based on our preliminary views on licence duration.</t>
  </si>
  <si>
    <t>Provides Australian data for metrics so weighting ratios and currency conversions can be calculated.</t>
  </si>
  <si>
    <t>Provides the data used for the mobile service revenue per bandwidth (MHz) per head of population index (MSR/MHz/pop index). The 3-year average is (MSR-MHz-pop_3yr_avg) is used to carry forward benchmark valuations to different years. We have assumed the annual MSR/MHz/pop index will remain constant after 2025.</t>
  </si>
  <si>
    <t>S2_duration</t>
  </si>
  <si>
    <t>Benchmarking data is converted from full duration valuations to 365-day valuations using a flat annuity formula.</t>
  </si>
  <si>
    <t>S3_currency</t>
  </si>
  <si>
    <t>365-day valuations converted to Australian dollars separately with spot exchange rate and PPP exchange rate data.</t>
  </si>
  <si>
    <t>S4_timing</t>
  </si>
  <si>
    <t>365-day AUD valuations carried forward to the 2025 financial year by dividing by the applicable MSR/MHz/pop index value.</t>
  </si>
  <si>
    <t>Provides basic weighting data for each benchmark. Worksheet includes the actual values used for weighting (column titles ending with '_value') and the calculated weights (ending with '_weight'). The weights are the ratio of the weighting value to the Australian value in that year (the formula to calculate this changes depending on which value is higher out of Australia and the applicable country).</t>
  </si>
  <si>
    <t>Provides benchmarking data for different cohorts (the three weighting parameters are cohorts, with separate columns for spot and PPP exchange rates). Benchmarks are excluded from cohorts (see grey cells) where the weight is below the required threshold in the 'weight_thresholds' worksheet.</t>
  </si>
  <si>
    <t>Provides summary statistics for each cohort in the 'S6A_cohort_data' worksheet. The lower and upper bounds are based on the percentiles in the 'percentiles' worksheet. The minimum, median and maximum are provided for information.</t>
  </si>
  <si>
    <t>Compiles the lower and upper bounds for all cohorts and the numeric weighting analysis (for both spot and PPP exchange rates), then finds the intersection of values common to each sample (in the columns with titled beginning with 'combined_').</t>
  </si>
  <si>
    <t>S7_fwd_valuations</t>
  </si>
  <si>
    <t>The value ranges from the previous worksheet are carried forward to the financial year (ending June) of the start date of renewed licences.</t>
  </si>
  <si>
    <t>S8_expand_duration</t>
  </si>
  <si>
    <t xml:space="preserve">The value ranges from the previous worksheet are expanded to full licence duration using the flat annuity formula. </t>
  </si>
  <si>
    <t>Summarises the lower and upper bound data from the previous worksheet, then takes the intersection range common to spot and PPP exchange rate data to find the published preliminary price range for each spectrum band.</t>
  </si>
  <si>
    <t>Provides benchmarking data (using spot and PPP) exchange rates, then calculates weighted percentiles for each benchmark. The lower and upper bounds occur where the applicable percentile falls within the lower and upper percentiles for that allocation (e.g. Belgium 2.1 GHz 2022 is the upper bound for spot exchange rate data, as the upper bound percentile is 0.69, which falls within its percentile range of 0.6722-0.6976).</t>
  </si>
  <si>
    <t>exchange_rates</t>
  </si>
  <si>
    <t>percentile</t>
  </si>
  <si>
    <t>Outlines exchange rate data for each benchmark allocation. Conversions are based on allocation timing rather than timing of licence commencement. Exchange rate data is from the World Bank's "World Development Indicators" (note: spot exchange rates for the euro are calculated based on the daily average of representative rates in US dollars from the International Monetary Fund). Spot exchange rate data is in US dollars and the PPP exchange rate data is in international currency units, so conversions to Australian dollars have used the A$ value in the applicable data set for that year (see 'aus_data' worksheet). Adjustments have been made where source benchmarking data is not in the local currency.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</si>
</sst>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8" formatCode="&quot;$&quot;#,##0.00;[Red]\-&quot;$&quot;#,##0.00"/>
    <numFmt numFmtId="164" formatCode="0.000000%"/>
    <numFmt numFmtId="165" formatCode="#,##0.0000000"/>
    <numFmt numFmtId="166" formatCode="0.000000"/>
    <numFmt numFmtId="167" formatCode="0.0000"/>
    <numFmt numFmtId="168" formatCode="0.0"/>
    <numFmt numFmtId="169" formatCode="yyyy"/>
    <numFmt numFmtId="170" formatCode="&quot;$&quot;#,##0.00"/>
    <numFmt numFmtId="171" formatCode="mmm\ yyyy"/>
    <numFmt numFmtId="172" formatCode="0.000"/>
  </numFmts>
  <fonts count="13" x14ac:knownFonts="1">
    <font>
      <sz val="11"/>
      <color theme="1"/>
      <name val="Aptos Narrow"/>
      <family val="2"/>
      <scheme val="minor"/>
    </font>
    <font>
      <b/>
      <sz val="11"/>
      <color theme="1"/>
      <name val="Calibri"/>
      <family val="2"/>
    </font>
    <font>
      <sz val="11"/>
      <color theme="1"/>
      <name val="Calibri"/>
      <family val="2"/>
    </font>
    <font>
      <b/>
      <sz val="11"/>
      <name val="Calibri"/>
      <family val="2"/>
    </font>
    <font>
      <sz val="11"/>
      <name val="Calibri"/>
      <family val="2"/>
    </font>
    <font>
      <sz val="11"/>
      <color rgb="FFFF0000"/>
      <name val="Calibri"/>
      <family val="2"/>
    </font>
    <font>
      <b/>
      <sz val="11"/>
      <color rgb="FFFF0000"/>
      <name val="Calibri"/>
      <family val="2"/>
    </font>
    <font>
      <sz val="11"/>
      <name val="Aptos Narrow"/>
      <family val="2"/>
      <scheme val="minor"/>
    </font>
    <font>
      <sz val="10"/>
      <name val="Arial"/>
      <family val="2"/>
    </font>
    <font>
      <b/>
      <sz val="11"/>
      <name val="Calibri"/>
    </font>
    <font>
      <b/>
      <sz val="11"/>
      <color theme="1"/>
      <name val="Calibri"/>
    </font>
    <font>
      <sz val="11"/>
      <name val="Calibri"/>
    </font>
    <font>
      <sz val="11"/>
      <color theme="1"/>
      <name val="Calibri"/>
    </font>
  </fonts>
  <fills count="8">
    <fill>
      <patternFill patternType="none"/>
    </fill>
    <fill>
      <patternFill patternType="gray125"/>
    </fill>
    <fill>
      <patternFill patternType="solid">
        <fgColor theme="8" tint="0.79998168889431442"/>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theme="2"/>
        <bgColor indexed="64"/>
      </patternFill>
    </fill>
    <fill>
      <patternFill patternType="solid">
        <fgColor theme="9" tint="0.79998168889431442"/>
        <bgColor indexed="64"/>
      </patternFill>
    </fill>
  </fills>
  <borders count="3">
    <border>
      <left/>
      <right/>
      <top/>
      <bottom/>
      <diagonal/>
    </border>
    <border>
      <left style="thin">
        <color theme="2" tint="-0.24994659260841701"/>
      </left>
      <right style="thin">
        <color theme="2" tint="-0.24994659260841701"/>
      </right>
      <top style="thin">
        <color theme="2" tint="-0.24994659260841701"/>
      </top>
      <bottom style="thin">
        <color theme="2" tint="-0.24994659260841701"/>
      </bottom>
      <diagonal/>
    </border>
    <border>
      <left/>
      <right/>
      <top/>
      <bottom style="thin">
        <color theme="2" tint="-0.24994659260841701"/>
      </bottom>
      <diagonal/>
    </border>
  </borders>
  <cellStyleXfs count="1">
    <xf numFmtId="0" fontId="0" fillId="0" borderId="0"/>
  </cellStyleXfs>
  <cellXfs count="81">
    <xf numFmtId="0" fontId="0" fillId="0" borderId="0" xfId="0"/>
    <xf numFmtId="0" fontId="1" fillId="0" borderId="0" xfId="0" applyFont="1"/>
    <xf numFmtId="0" fontId="1" fillId="0" borderId="0" xfId="0" applyFont="1" applyAlignment="1">
      <alignment horizontal="right"/>
    </xf>
    <xf numFmtId="0" fontId="2" fillId="0" borderId="0" xfId="0" applyFont="1"/>
    <xf numFmtId="0" fontId="2" fillId="0" borderId="0" xfId="0" applyFont="1" applyAlignment="1">
      <alignment horizontal="right"/>
    </xf>
    <xf numFmtId="0" fontId="1" fillId="0" borderId="0" xfId="0" applyFont="1" applyAlignment="1">
      <alignment vertical="center" wrapText="1"/>
    </xf>
    <xf numFmtId="0" fontId="1" fillId="0" borderId="0" xfId="0" applyFont="1" applyAlignment="1">
      <alignment horizontal="right" vertical="center" wrapText="1"/>
    </xf>
    <xf numFmtId="14" fontId="2" fillId="0" borderId="0" xfId="0" applyNumberFormat="1" applyFont="1"/>
    <xf numFmtId="0" fontId="1" fillId="0" borderId="0" xfId="0" applyFont="1" applyAlignment="1">
      <alignment horizontal="right" vertical="center"/>
    </xf>
    <xf numFmtId="0" fontId="1" fillId="0" borderId="0" xfId="0" applyFont="1" applyAlignment="1">
      <alignment horizontal="left" vertical="center"/>
    </xf>
    <xf numFmtId="0" fontId="2" fillId="0" borderId="0" xfId="0" applyFont="1" applyAlignment="1">
      <alignment horizontal="right" vertical="center"/>
    </xf>
    <xf numFmtId="0" fontId="2" fillId="0" borderId="0" xfId="0" applyFont="1" applyAlignment="1">
      <alignment horizontal="left" vertical="center"/>
    </xf>
    <xf numFmtId="8" fontId="2" fillId="0" borderId="0" xfId="0" applyNumberFormat="1" applyFont="1" applyAlignment="1">
      <alignment horizontal="right" vertical="center" wrapText="1"/>
    </xf>
    <xf numFmtId="165" fontId="2" fillId="0" borderId="0" xfId="0" applyNumberFormat="1" applyFont="1" applyAlignment="1">
      <alignment horizontal="right" vertical="center"/>
    </xf>
    <xf numFmtId="0" fontId="2" fillId="0" borderId="0" xfId="0" applyFont="1" applyAlignment="1">
      <alignment horizontal="left" vertical="center" wrapText="1"/>
    </xf>
    <xf numFmtId="166" fontId="2" fillId="0" borderId="0" xfId="0" applyNumberFormat="1" applyFont="1" applyAlignment="1">
      <alignment horizontal="right" vertical="center"/>
    </xf>
    <xf numFmtId="0" fontId="3" fillId="0" borderId="0" xfId="0" applyFont="1" applyAlignment="1">
      <alignment horizontal="left" vertical="center" wrapText="1"/>
    </xf>
    <xf numFmtId="0" fontId="3" fillId="0" borderId="0" xfId="0" applyFont="1" applyAlignment="1">
      <alignment horizontal="right" vertical="center" wrapText="1"/>
    </xf>
    <xf numFmtId="169" fontId="2" fillId="0" borderId="0" xfId="0" applyNumberFormat="1" applyFont="1"/>
    <xf numFmtId="167" fontId="2" fillId="0" borderId="0" xfId="0" applyNumberFormat="1" applyFont="1"/>
    <xf numFmtId="164" fontId="2" fillId="0" borderId="0" xfId="0" applyNumberFormat="1" applyFont="1" applyAlignment="1">
      <alignment horizontal="right"/>
    </xf>
    <xf numFmtId="3" fontId="2" fillId="0" borderId="0" xfId="0" applyNumberFormat="1" applyFont="1"/>
    <xf numFmtId="0" fontId="6" fillId="0" borderId="0" xfId="0" applyFont="1" applyAlignment="1">
      <alignment horizontal="right" vertical="center" wrapText="1"/>
    </xf>
    <xf numFmtId="168" fontId="2" fillId="0" borderId="0" xfId="0" applyNumberFormat="1" applyFont="1"/>
    <xf numFmtId="2" fontId="2" fillId="0" borderId="0" xfId="0" applyNumberFormat="1" applyFont="1" applyAlignment="1">
      <alignment horizontal="right"/>
    </xf>
    <xf numFmtId="167" fontId="2" fillId="0" borderId="0" xfId="0" applyNumberFormat="1" applyFont="1" applyAlignment="1">
      <alignment horizontal="right"/>
    </xf>
    <xf numFmtId="167" fontId="5" fillId="0" borderId="0" xfId="0" applyNumberFormat="1" applyFont="1" applyAlignment="1">
      <alignment horizontal="right"/>
    </xf>
    <xf numFmtId="0" fontId="5" fillId="0" borderId="0" xfId="0" applyFont="1" applyAlignment="1">
      <alignment horizontal="right"/>
    </xf>
    <xf numFmtId="167" fontId="5" fillId="2" borderId="0" xfId="0" applyNumberFormat="1" applyFont="1" applyFill="1" applyAlignment="1">
      <alignment horizontal="right"/>
    </xf>
    <xf numFmtId="0" fontId="2" fillId="2" borderId="0" xfId="0" applyFont="1" applyFill="1" applyAlignment="1">
      <alignment horizontal="right"/>
    </xf>
    <xf numFmtId="168" fontId="2" fillId="2" borderId="0" xfId="0" applyNumberFormat="1" applyFont="1" applyFill="1"/>
    <xf numFmtId="2" fontId="2" fillId="2" borderId="0" xfId="0" applyNumberFormat="1" applyFont="1" applyFill="1" applyAlignment="1">
      <alignment horizontal="right"/>
    </xf>
    <xf numFmtId="167" fontId="2" fillId="2" borderId="0" xfId="0" applyNumberFormat="1" applyFont="1" applyFill="1" applyAlignment="1">
      <alignment horizontal="right"/>
    </xf>
    <xf numFmtId="0" fontId="1" fillId="0" borderId="0" xfId="0" applyFont="1" applyAlignment="1">
      <alignment vertical="center"/>
    </xf>
    <xf numFmtId="169" fontId="1" fillId="0" borderId="0" xfId="0" applyNumberFormat="1" applyFont="1" applyAlignment="1">
      <alignment horizontal="right" vertical="center" wrapText="1"/>
    </xf>
    <xf numFmtId="171" fontId="1" fillId="0" borderId="0" xfId="0" applyNumberFormat="1" applyFont="1" applyAlignment="1">
      <alignment horizontal="right" vertical="center" wrapText="1"/>
    </xf>
    <xf numFmtId="171" fontId="2" fillId="0" borderId="0" xfId="0" applyNumberFormat="1" applyFont="1"/>
    <xf numFmtId="170" fontId="2" fillId="0" borderId="0" xfId="0" applyNumberFormat="1" applyFont="1"/>
    <xf numFmtId="0" fontId="2" fillId="0" borderId="0" xfId="0" applyFont="1" applyAlignment="1">
      <alignment horizontal="left"/>
    </xf>
    <xf numFmtId="0" fontId="3" fillId="6" borderId="1" xfId="0" applyFont="1" applyFill="1" applyBorder="1" applyAlignment="1">
      <alignment horizontal="left" wrapText="1"/>
    </xf>
    <xf numFmtId="0" fontId="3" fillId="6" borderId="1" xfId="0" applyFont="1" applyFill="1" applyBorder="1" applyAlignment="1">
      <alignment wrapText="1"/>
    </xf>
    <xf numFmtId="0" fontId="4" fillId="5" borderId="1" xfId="0" applyFont="1" applyFill="1" applyBorder="1" applyAlignment="1">
      <alignment horizontal="left" vertical="center" wrapText="1"/>
    </xf>
    <xf numFmtId="0" fontId="4" fillId="0" borderId="1" xfId="0" applyFont="1" applyBorder="1" applyAlignment="1">
      <alignment vertical="center" wrapText="1"/>
    </xf>
    <xf numFmtId="0" fontId="4" fillId="7" borderId="1" xfId="0" applyFont="1" applyFill="1" applyBorder="1" applyAlignment="1">
      <alignment horizontal="left" vertical="center" wrapText="1"/>
    </xf>
    <xf numFmtId="0" fontId="7" fillId="0" borderId="0" xfId="0" applyFont="1" applyAlignment="1">
      <alignment horizontal="left"/>
    </xf>
    <xf numFmtId="0" fontId="7" fillId="0" borderId="0" xfId="0" applyFont="1" applyAlignment="1">
      <alignment horizontal="center"/>
    </xf>
    <xf numFmtId="0" fontId="8" fillId="0" borderId="0" xfId="0" applyFont="1" applyAlignment="1">
      <alignment horizontal="left"/>
    </xf>
    <xf numFmtId="0" fontId="8" fillId="0" borderId="0" xfId="0" applyFont="1" applyAlignment="1">
      <alignment horizontal="center"/>
    </xf>
    <xf numFmtId="1" fontId="2" fillId="0" borderId="0" xfId="0" applyNumberFormat="1" applyFont="1"/>
    <xf numFmtId="167" fontId="4" fillId="0" borderId="0" xfId="0" applyNumberFormat="1" applyFont="1"/>
    <xf numFmtId="0" fontId="2" fillId="0" borderId="0" xfId="0" applyFont="1" applyAlignment="1">
      <alignment horizontal="center" vertical="center"/>
    </xf>
    <xf numFmtId="0" fontId="1" fillId="0" borderId="0" xfId="0" applyFont="1" applyAlignment="1">
      <alignment horizontal="center" vertical="center"/>
    </xf>
    <xf numFmtId="169" fontId="2" fillId="0" borderId="0" xfId="0" applyNumberFormat="1" applyFont="1" applyAlignment="1">
      <alignment horizontal="right"/>
    </xf>
    <xf numFmtId="0" fontId="4" fillId="0" borderId="0" xfId="0" applyFont="1" applyAlignment="1">
      <alignment horizontal="right"/>
    </xf>
    <xf numFmtId="167" fontId="4" fillId="0" borderId="0" xfId="0" applyNumberFormat="1" applyFont="1" applyAlignment="1">
      <alignment horizontal="right"/>
    </xf>
    <xf numFmtId="0" fontId="2" fillId="0" borderId="0" xfId="0" applyFont="1" applyAlignment="1">
      <alignment horizontal="center"/>
    </xf>
    <xf numFmtId="14" fontId="1" fillId="0" borderId="0" xfId="0" applyNumberFormat="1" applyFont="1" applyAlignment="1">
      <alignment horizontal="right" vertical="center" wrapText="1"/>
    </xf>
    <xf numFmtId="0" fontId="4" fillId="0" borderId="0" xfId="0" applyFont="1"/>
    <xf numFmtId="172" fontId="2" fillId="0" borderId="0" xfId="0" applyNumberFormat="1" applyFont="1"/>
    <xf numFmtId="167" fontId="2" fillId="3" borderId="0" xfId="0" applyNumberFormat="1" applyFont="1" applyFill="1"/>
    <xf numFmtId="0" fontId="0" fillId="0" borderId="0" xfId="0" applyAlignment="1">
      <alignment horizontal="right"/>
    </xf>
    <xf numFmtId="0" fontId="9" fillId="0" borderId="0" xfId="0" applyFont="1" applyAlignment="1">
      <alignment horizontal="left" vertical="center" wrapText="1"/>
    </xf>
    <xf numFmtId="0" fontId="9" fillId="0" borderId="0" xfId="0" applyFont="1" applyAlignment="1">
      <alignment horizontal="right" vertical="center" wrapText="1"/>
    </xf>
    <xf numFmtId="0" fontId="10" fillId="0" borderId="0" xfId="0" applyFont="1" applyAlignment="1">
      <alignment horizontal="right" vertical="center" wrapText="1"/>
    </xf>
    <xf numFmtId="0" fontId="11" fillId="0" borderId="0" xfId="0" applyFont="1" applyAlignment="1">
      <alignment horizontal="left" vertical="center" wrapText="1"/>
    </xf>
    <xf numFmtId="0" fontId="11" fillId="0" borderId="0" xfId="0" applyFont="1" applyAlignment="1">
      <alignment horizontal="right" vertical="center" wrapText="1"/>
    </xf>
    <xf numFmtId="167" fontId="12" fillId="0" borderId="0" xfId="0" applyNumberFormat="1" applyFont="1"/>
    <xf numFmtId="0" fontId="11" fillId="0" borderId="0" xfId="0" applyFont="1" applyAlignment="1">
      <alignment horizontal="left"/>
    </xf>
    <xf numFmtId="0" fontId="11" fillId="0" borderId="0" xfId="0" applyFont="1" applyAlignment="1">
      <alignment horizontal="right"/>
    </xf>
    <xf numFmtId="0" fontId="12" fillId="0" borderId="0" xfId="0" applyFont="1" applyAlignment="1">
      <alignment horizontal="left"/>
    </xf>
    <xf numFmtId="0" fontId="12" fillId="0" borderId="0" xfId="0" applyFont="1" applyAlignment="1">
      <alignment horizontal="right"/>
    </xf>
    <xf numFmtId="0" fontId="12" fillId="0" borderId="0" xfId="0" applyFont="1"/>
    <xf numFmtId="0" fontId="10" fillId="0" borderId="0" xfId="0" applyFont="1" applyAlignment="1">
      <alignment vertical="center" wrapText="1"/>
    </xf>
    <xf numFmtId="14" fontId="12" fillId="0" borderId="0" xfId="0" applyNumberFormat="1" applyFont="1"/>
    <xf numFmtId="0" fontId="12" fillId="0" borderId="0" xfId="0" applyFont="1" applyAlignment="1">
      <alignment vertical="center" wrapText="1"/>
    </xf>
    <xf numFmtId="0" fontId="12" fillId="0" borderId="0" xfId="0" applyFont="1" applyAlignment="1">
      <alignment horizontal="right" vertical="center" wrapText="1"/>
    </xf>
    <xf numFmtId="14" fontId="12" fillId="0" borderId="0" xfId="0" applyNumberFormat="1" applyFont="1" applyAlignment="1">
      <alignment horizontal="right" vertical="center" wrapText="1"/>
    </xf>
    <xf numFmtId="3" fontId="12" fillId="0" borderId="0" xfId="0" applyNumberFormat="1" applyFont="1" applyAlignment="1">
      <alignment horizontal="right" vertical="center" wrapText="1"/>
    </xf>
    <xf numFmtId="0" fontId="10" fillId="4" borderId="0" xfId="0" applyFont="1" applyFill="1" applyAlignment="1">
      <alignment horizontal="right" vertical="center" wrapText="1"/>
    </xf>
    <xf numFmtId="169" fontId="12" fillId="0" borderId="0" xfId="0" applyNumberFormat="1" applyFont="1" applyAlignment="1">
      <alignment horizontal="right"/>
    </xf>
    <xf numFmtId="0" fontId="0" fillId="0" borderId="2" xfId="0" applyBorder="1" applyAlignment="1">
      <alignment horizontal="left"/>
    </xf>
  </cellXfs>
  <cellStyles count="1">
    <cellStyle name="Normal" xfId="0" builtinId="0"/>
  </cellStyles>
  <dxfs count="0"/>
  <tableStyles count="0" defaultTableStyle="TableStyleMedium2" defaultPivotStyle="PivotStyleLight16"/>
  <colors>
    <mruColors>
      <color rgb="FFFF775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microsoft.com/office/2017/06/relationships/rdRichValue" Target="richData/rdrichvalue.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microsoft.com/office/2022/10/relationships/richValueRel" Target="richData/richValueRel.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eetMetadata" Target="metadata.xml"/><Relationship Id="rId32" Type="http://schemas.openxmlformats.org/officeDocument/2006/relationships/customXml" Target="../customXml/item3.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28" Type="http://schemas.microsoft.com/office/2017/06/relationships/rdRichValueTypes" Target="richData/rdRichValueTyp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 Id="rId27" Type="http://schemas.microsoft.com/office/2017/06/relationships/rdRichValueStructure" Target="richData/rdrichvaluestructure.xml"/><Relationship Id="rId30" Type="http://schemas.openxmlformats.org/officeDocument/2006/relationships/customXml" Target="../customXml/item1.xml"/></Relationships>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Office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7DA888-943B-406B-82CE-6BB771D070E5}">
  <dimension ref="A1:B22"/>
  <sheetViews>
    <sheetView tabSelected="1" workbookViewId="0">
      <pane ySplit="2" topLeftCell="A3" activePane="bottomLeft" state="frozen"/>
      <selection pane="bottomLeft" sqref="A1:B1"/>
    </sheetView>
  </sheetViews>
  <sheetFormatPr defaultColWidth="8.7265625" defaultRowHeight="14.5" x14ac:dyDescent="0.35"/>
  <cols>
    <col min="1" max="1" width="40.6328125" style="46" customWidth="1"/>
    <col min="2" max="2" width="125.6328125" style="47" customWidth="1"/>
    <col min="3" max="16384" width="8.7265625" style="3"/>
  </cols>
  <sheetData>
    <row r="1" spans="1:2" ht="36" customHeight="1" x14ac:dyDescent="0.35">
      <c r="A1" s="80" t="e" vm="1">
        <v>#VALUE!</v>
      </c>
      <c r="B1" s="80"/>
    </row>
    <row r="2" spans="1:2" x14ac:dyDescent="0.35">
      <c r="A2" s="39" t="s">
        <v>0</v>
      </c>
      <c r="B2" s="40" t="s">
        <v>1</v>
      </c>
    </row>
    <row r="3" spans="1:2" x14ac:dyDescent="0.35">
      <c r="A3" s="41" t="s">
        <v>2</v>
      </c>
      <c r="B3" s="42" t="s">
        <v>162</v>
      </c>
    </row>
    <row r="4" spans="1:2" ht="29" x14ac:dyDescent="0.35">
      <c r="A4" s="41" t="s">
        <v>3</v>
      </c>
      <c r="B4" s="42" t="s">
        <v>4</v>
      </c>
    </row>
    <row r="5" spans="1:2" x14ac:dyDescent="0.35">
      <c r="A5" s="41" t="s">
        <v>5</v>
      </c>
      <c r="B5" s="42" t="s">
        <v>163</v>
      </c>
    </row>
    <row r="6" spans="1:2" x14ac:dyDescent="0.35">
      <c r="A6" s="41" t="s">
        <v>6</v>
      </c>
      <c r="B6" s="42" t="s">
        <v>164</v>
      </c>
    </row>
    <row r="7" spans="1:2" x14ac:dyDescent="0.35">
      <c r="A7" s="41" t="s">
        <v>7</v>
      </c>
      <c r="B7" s="42" t="s">
        <v>165</v>
      </c>
    </row>
    <row r="8" spans="1:2" ht="87" x14ac:dyDescent="0.35">
      <c r="A8" s="41" t="s">
        <v>183</v>
      </c>
      <c r="B8" s="42" t="s">
        <v>185</v>
      </c>
    </row>
    <row r="9" spans="1:2" ht="43.5" x14ac:dyDescent="0.35">
      <c r="A9" s="41" t="s">
        <v>8</v>
      </c>
      <c r="B9" s="42" t="s">
        <v>166</v>
      </c>
    </row>
    <row r="10" spans="1:2" x14ac:dyDescent="0.35">
      <c r="A10" s="43" t="s">
        <v>9</v>
      </c>
      <c r="B10" s="42" t="s">
        <v>10</v>
      </c>
    </row>
    <row r="11" spans="1:2" x14ac:dyDescent="0.35">
      <c r="A11" s="43" t="s">
        <v>167</v>
      </c>
      <c r="B11" s="42" t="s">
        <v>168</v>
      </c>
    </row>
    <row r="12" spans="1:2" x14ac:dyDescent="0.35">
      <c r="A12" s="43" t="s">
        <v>169</v>
      </c>
      <c r="B12" s="42" t="s">
        <v>170</v>
      </c>
    </row>
    <row r="13" spans="1:2" x14ac:dyDescent="0.35">
      <c r="A13" s="43" t="s">
        <v>171</v>
      </c>
      <c r="B13" s="42" t="s">
        <v>172</v>
      </c>
    </row>
    <row r="14" spans="1:2" ht="43.5" x14ac:dyDescent="0.35">
      <c r="A14" s="43" t="s">
        <v>11</v>
      </c>
      <c r="B14" s="42" t="s">
        <v>173</v>
      </c>
    </row>
    <row r="15" spans="1:2" ht="43.5" customHeight="1" x14ac:dyDescent="0.35">
      <c r="A15" s="43" t="s">
        <v>12</v>
      </c>
      <c r="B15" s="42" t="s">
        <v>174</v>
      </c>
    </row>
    <row r="16" spans="1:2" ht="29" x14ac:dyDescent="0.35">
      <c r="A16" s="43" t="s">
        <v>13</v>
      </c>
      <c r="B16" s="42" t="s">
        <v>175</v>
      </c>
    </row>
    <row r="17" spans="1:2" ht="43.5" x14ac:dyDescent="0.35">
      <c r="A17" s="43" t="s">
        <v>14</v>
      </c>
      <c r="B17" s="42" t="s">
        <v>182</v>
      </c>
    </row>
    <row r="18" spans="1:2" ht="29" x14ac:dyDescent="0.35">
      <c r="A18" s="43" t="s">
        <v>15</v>
      </c>
      <c r="B18" s="42" t="s">
        <v>176</v>
      </c>
    </row>
    <row r="19" spans="1:2" x14ac:dyDescent="0.35">
      <c r="A19" s="43" t="s">
        <v>177</v>
      </c>
      <c r="B19" s="42" t="s">
        <v>178</v>
      </c>
    </row>
    <row r="20" spans="1:2" x14ac:dyDescent="0.35">
      <c r="A20" s="43" t="s">
        <v>179</v>
      </c>
      <c r="B20" s="42" t="s">
        <v>180</v>
      </c>
    </row>
    <row r="21" spans="1:2" ht="29" x14ac:dyDescent="0.35">
      <c r="A21" s="43" t="s">
        <v>16</v>
      </c>
      <c r="B21" s="42" t="s">
        <v>181</v>
      </c>
    </row>
    <row r="22" spans="1:2" x14ac:dyDescent="0.35">
      <c r="A22" s="44"/>
      <c r="B22" s="45"/>
    </row>
  </sheetData>
  <mergeCells count="1">
    <mergeCell ref="A1:B1"/>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4573CE-499A-472F-A10E-833D2C88F58A}">
  <sheetPr>
    <tabColor theme="7" tint="0.79998168889431442"/>
  </sheetPr>
  <dimension ref="A1:C3"/>
  <sheetViews>
    <sheetView workbookViewId="0">
      <pane ySplit="1" topLeftCell="A2" activePane="bottomLeft" state="frozen"/>
      <selection pane="bottomLeft"/>
    </sheetView>
  </sheetViews>
  <sheetFormatPr defaultColWidth="8.7265625" defaultRowHeight="14.5" x14ac:dyDescent="0.35"/>
  <cols>
    <col min="1" max="1" width="19" style="3" customWidth="1"/>
    <col min="2" max="2" width="17.26953125" style="3" customWidth="1"/>
    <col min="3" max="3" width="7.90625" style="3" customWidth="1"/>
    <col min="4" max="16384" width="8.7265625" style="3"/>
  </cols>
  <sheetData>
    <row r="1" spans="1:3" x14ac:dyDescent="0.35">
      <c r="A1" s="1" t="s">
        <v>17</v>
      </c>
      <c r="B1" s="1" t="s">
        <v>18</v>
      </c>
      <c r="C1" s="2" t="s">
        <v>19</v>
      </c>
    </row>
    <row r="2" spans="1:3" x14ac:dyDescent="0.35">
      <c r="A2" s="3" t="s">
        <v>160</v>
      </c>
      <c r="B2" s="3" t="s">
        <v>20</v>
      </c>
      <c r="C2" s="4">
        <v>0.31</v>
      </c>
    </row>
    <row r="3" spans="1:3" x14ac:dyDescent="0.35">
      <c r="A3" s="3" t="s">
        <v>160</v>
      </c>
      <c r="B3" s="3" t="s">
        <v>21</v>
      </c>
      <c r="C3" s="4">
        <v>0.69</v>
      </c>
    </row>
  </sheetData>
  <sheetProtection algorithmName="SHA-512" hashValue="+XLVP5lpxsAc78D/9MybzI0o+oH9G1HOnLbYtcCfHUgeUFImScz6w/Pt+SYSuApv7/QasCZC2ExfFGx9Gu/WyQ==" saltValue="KjyVEMjobygtjN5GHMkc4w=="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A530DC-9708-482D-AED0-1D0470C8E171}">
  <sheetPr>
    <tabColor theme="7" tint="0.79998168889431442"/>
  </sheetPr>
  <dimension ref="A1:B4"/>
  <sheetViews>
    <sheetView workbookViewId="0">
      <pane ySplit="1" topLeftCell="A2" activePane="bottomLeft" state="frozen"/>
      <selection pane="bottomLeft"/>
    </sheetView>
  </sheetViews>
  <sheetFormatPr defaultRowHeight="14.5" x14ac:dyDescent="0.35"/>
  <cols>
    <col min="1" max="1" width="32.54296875" style="3" customWidth="1"/>
    <col min="2" max="2" width="10.453125" style="3" customWidth="1"/>
    <col min="3" max="16384" width="8.7265625" style="3"/>
  </cols>
  <sheetData>
    <row r="1" spans="1:2" x14ac:dyDescent="0.35">
      <c r="A1" s="1" t="s">
        <v>22</v>
      </c>
      <c r="B1" s="2" t="s">
        <v>23</v>
      </c>
    </row>
    <row r="2" spans="1:2" x14ac:dyDescent="0.35">
      <c r="A2" s="3" t="s">
        <v>24</v>
      </c>
      <c r="B2" s="4">
        <v>0.7</v>
      </c>
    </row>
    <row r="3" spans="1:2" x14ac:dyDescent="0.35">
      <c r="A3" s="3" t="s">
        <v>25</v>
      </c>
      <c r="B3" s="4">
        <v>1</v>
      </c>
    </row>
    <row r="4" spans="1:2" x14ac:dyDescent="0.35">
      <c r="A4" s="3" t="s">
        <v>26</v>
      </c>
      <c r="B4" s="4">
        <v>0.1</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0CA553-E1C5-453E-9C4E-48FE5DC5319C}">
  <sheetPr>
    <tabColor theme="7" tint="0.79998168889431442"/>
  </sheetPr>
  <dimension ref="A1:C3"/>
  <sheetViews>
    <sheetView workbookViewId="0">
      <pane ySplit="1" topLeftCell="A2" activePane="bottomLeft" state="frozen"/>
      <selection pane="bottomLeft"/>
    </sheetView>
  </sheetViews>
  <sheetFormatPr defaultRowHeight="14.5" x14ac:dyDescent="0.35"/>
  <cols>
    <col min="1" max="1" width="20.453125" style="3" customWidth="1"/>
    <col min="2" max="2" width="21.1796875" style="3" bestFit="1" customWidth="1"/>
    <col min="3" max="3" width="14.453125" style="3" customWidth="1"/>
    <col min="4" max="16384" width="8.7265625" style="3"/>
  </cols>
  <sheetData>
    <row r="1" spans="1:3" x14ac:dyDescent="0.35">
      <c r="A1" s="1" t="s">
        <v>27</v>
      </c>
      <c r="B1" s="1" t="s">
        <v>28</v>
      </c>
      <c r="C1" s="2" t="s">
        <v>5</v>
      </c>
    </row>
    <row r="2" spans="1:3" x14ac:dyDescent="0.35">
      <c r="A2" s="3" t="s">
        <v>29</v>
      </c>
      <c r="B2" s="3" t="s">
        <v>30</v>
      </c>
      <c r="C2" s="20">
        <v>8.4900000000000003E-2</v>
      </c>
    </row>
    <row r="3" spans="1:3" x14ac:dyDescent="0.35">
      <c r="A3" s="3" t="s">
        <v>29</v>
      </c>
      <c r="B3" s="3" t="s">
        <v>31</v>
      </c>
      <c r="C3" s="20">
        <v>2.2327921582387944E-4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6D03FE-60C0-4292-B381-34433CFAE65D}">
  <sheetPr>
    <tabColor theme="7" tint="0.79998168889431442"/>
  </sheetPr>
  <dimension ref="A1:D3"/>
  <sheetViews>
    <sheetView workbookViewId="0">
      <pane ySplit="1" topLeftCell="A2" activePane="bottomLeft" state="frozen"/>
      <selection pane="bottomLeft" activeCell="H12" sqref="H12"/>
    </sheetView>
  </sheetViews>
  <sheetFormatPr defaultRowHeight="14.5" x14ac:dyDescent="0.35"/>
  <cols>
    <col min="1" max="1" width="13.81640625" style="3" customWidth="1"/>
    <col min="2" max="3" width="17.54296875" style="3" customWidth="1"/>
    <col min="4" max="4" width="15.453125" style="3" customWidth="1"/>
    <col min="5" max="16384" width="8.7265625" style="3"/>
  </cols>
  <sheetData>
    <row r="1" spans="1:4" ht="14" customHeight="1" x14ac:dyDescent="0.35">
      <c r="A1" s="5" t="s">
        <v>32</v>
      </c>
      <c r="B1" s="6" t="s">
        <v>33</v>
      </c>
      <c r="C1" s="6" t="s">
        <v>34</v>
      </c>
      <c r="D1" s="6" t="s">
        <v>35</v>
      </c>
    </row>
    <row r="2" spans="1:4" x14ac:dyDescent="0.35">
      <c r="A2" s="3" t="s">
        <v>36</v>
      </c>
      <c r="B2" s="7">
        <v>46922</v>
      </c>
      <c r="C2" s="7">
        <v>52614</v>
      </c>
      <c r="D2" s="21">
        <f>$C2-$B2+1</f>
        <v>5693</v>
      </c>
    </row>
    <row r="3" spans="1:4" x14ac:dyDescent="0.35">
      <c r="A3" s="3" t="s">
        <v>37</v>
      </c>
      <c r="B3" s="7">
        <v>48499</v>
      </c>
      <c r="C3" s="7">
        <v>52614</v>
      </c>
      <c r="D3" s="21">
        <f>$C3-$B3+1</f>
        <v>4116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9F3D5C-5A08-4E61-8277-6A5F13273B05}">
  <sheetPr>
    <tabColor theme="7" tint="0.79998168889431442"/>
  </sheetPr>
  <dimension ref="A1:D76"/>
  <sheetViews>
    <sheetView workbookViewId="0">
      <pane ySplit="1" topLeftCell="A49" activePane="bottomLeft" state="frozen"/>
      <selection pane="bottomLeft" activeCell="D25" sqref="D25"/>
    </sheetView>
  </sheetViews>
  <sheetFormatPr defaultRowHeight="14.5" x14ac:dyDescent="0.35"/>
  <cols>
    <col min="1" max="1" width="9" style="50" customWidth="1"/>
    <col min="2" max="2" width="29.36328125" style="11" customWidth="1"/>
    <col min="3" max="3" width="109.453125" style="11" customWidth="1"/>
    <col min="4" max="4" width="18.453125" style="10" customWidth="1"/>
  </cols>
  <sheetData>
    <row r="1" spans="1:4" x14ac:dyDescent="0.35">
      <c r="A1" s="51" t="s">
        <v>38</v>
      </c>
      <c r="B1" s="9" t="s">
        <v>39</v>
      </c>
      <c r="C1" s="9" t="s">
        <v>40</v>
      </c>
      <c r="D1" s="8" t="s">
        <v>41</v>
      </c>
    </row>
    <row r="2" spans="1:4" x14ac:dyDescent="0.35">
      <c r="A2" s="50">
        <v>2009</v>
      </c>
      <c r="B2" s="11" t="s">
        <v>24</v>
      </c>
      <c r="C2" s="11" t="s">
        <v>42</v>
      </c>
      <c r="D2" s="12">
        <v>53237.00776423121</v>
      </c>
    </row>
    <row r="3" spans="1:4" x14ac:dyDescent="0.35">
      <c r="A3" s="50">
        <v>2010</v>
      </c>
      <c r="B3" s="11" t="s">
        <v>24</v>
      </c>
      <c r="C3" s="11" t="s">
        <v>42</v>
      </c>
      <c r="D3" s="12">
        <v>53578.812504975904</v>
      </c>
    </row>
    <row r="4" spans="1:4" x14ac:dyDescent="0.35">
      <c r="A4" s="50">
        <v>2011</v>
      </c>
      <c r="B4" s="11" t="s">
        <v>24</v>
      </c>
      <c r="C4" s="11" t="s">
        <v>42</v>
      </c>
      <c r="D4" s="12">
        <v>54111.357240335987</v>
      </c>
    </row>
    <row r="5" spans="1:4" x14ac:dyDescent="0.35">
      <c r="A5" s="50">
        <v>2012</v>
      </c>
      <c r="B5" s="11" t="s">
        <v>24</v>
      </c>
      <c r="C5" s="11" t="s">
        <v>42</v>
      </c>
      <c r="D5" s="12">
        <v>55257.573928736187</v>
      </c>
    </row>
    <row r="6" spans="1:4" x14ac:dyDescent="0.35">
      <c r="A6" s="50">
        <v>2013</v>
      </c>
      <c r="B6" s="11" t="s">
        <v>24</v>
      </c>
      <c r="C6" s="11" t="s">
        <v>42</v>
      </c>
      <c r="D6" s="12">
        <v>55728.017403571932</v>
      </c>
    </row>
    <row r="7" spans="1:4" x14ac:dyDescent="0.35">
      <c r="A7" s="50">
        <v>2014</v>
      </c>
      <c r="B7" s="11" t="s">
        <v>24</v>
      </c>
      <c r="C7" s="11" t="s">
        <v>42</v>
      </c>
      <c r="D7" s="12">
        <v>56327.853306327721</v>
      </c>
    </row>
    <row r="8" spans="1:4" x14ac:dyDescent="0.35">
      <c r="A8" s="50">
        <v>2015</v>
      </c>
      <c r="B8" s="11" t="s">
        <v>24</v>
      </c>
      <c r="C8" s="11" t="s">
        <v>42</v>
      </c>
      <c r="D8" s="12">
        <v>56739.02653465933</v>
      </c>
    </row>
    <row r="9" spans="1:4" x14ac:dyDescent="0.35">
      <c r="A9" s="50">
        <v>2016</v>
      </c>
      <c r="B9" s="11" t="s">
        <v>24</v>
      </c>
      <c r="C9" s="11" t="s">
        <v>42</v>
      </c>
      <c r="D9" s="12">
        <v>57401.066226893934</v>
      </c>
    </row>
    <row r="10" spans="1:4" x14ac:dyDescent="0.35">
      <c r="A10" s="50">
        <v>2017</v>
      </c>
      <c r="B10" s="11" t="s">
        <v>24</v>
      </c>
      <c r="C10" s="11" t="s">
        <v>42</v>
      </c>
      <c r="D10" s="12">
        <v>57750.64822216882</v>
      </c>
    </row>
    <row r="11" spans="1:4" x14ac:dyDescent="0.35">
      <c r="A11" s="50">
        <v>2018</v>
      </c>
      <c r="B11" s="11" t="s">
        <v>24</v>
      </c>
      <c r="C11" s="11" t="s">
        <v>42</v>
      </c>
      <c r="D11" s="12">
        <v>58530.782169711711</v>
      </c>
    </row>
    <row r="12" spans="1:4" x14ac:dyDescent="0.35">
      <c r="A12" s="50">
        <v>2019</v>
      </c>
      <c r="B12" s="11" t="s">
        <v>24</v>
      </c>
      <c r="C12" s="11" t="s">
        <v>42</v>
      </c>
      <c r="D12" s="12">
        <v>58924.733646241955</v>
      </c>
    </row>
    <row r="13" spans="1:4" x14ac:dyDescent="0.35">
      <c r="A13" s="50">
        <v>2020</v>
      </c>
      <c r="B13" s="11" t="s">
        <v>24</v>
      </c>
      <c r="C13" s="11" t="s">
        <v>42</v>
      </c>
      <c r="D13" s="12">
        <v>58132.798523626036</v>
      </c>
    </row>
    <row r="14" spans="1:4" x14ac:dyDescent="0.35">
      <c r="A14" s="50">
        <v>2021</v>
      </c>
      <c r="B14" s="11" t="s">
        <v>24</v>
      </c>
      <c r="C14" s="11" t="s">
        <v>42</v>
      </c>
      <c r="D14" s="12">
        <v>59276.503107196957</v>
      </c>
    </row>
    <row r="15" spans="1:4" x14ac:dyDescent="0.35">
      <c r="A15" s="50">
        <v>2022</v>
      </c>
      <c r="B15" s="11" t="s">
        <v>24</v>
      </c>
      <c r="C15" s="11" t="s">
        <v>42</v>
      </c>
      <c r="D15" s="12">
        <v>61009.807714740316</v>
      </c>
    </row>
    <row r="16" spans="1:4" x14ac:dyDescent="0.35">
      <c r="A16" s="50">
        <v>2023</v>
      </c>
      <c r="B16" s="11" t="s">
        <v>24</v>
      </c>
      <c r="C16" s="11" t="s">
        <v>42</v>
      </c>
      <c r="D16" s="12">
        <v>61583.918893530448</v>
      </c>
    </row>
    <row r="17" spans="1:4" x14ac:dyDescent="0.35">
      <c r="A17" s="50">
        <v>2009</v>
      </c>
      <c r="B17" s="11" t="s">
        <v>25</v>
      </c>
      <c r="C17" s="11" t="s">
        <v>43</v>
      </c>
      <c r="D17" s="10">
        <v>3</v>
      </c>
    </row>
    <row r="18" spans="1:4" x14ac:dyDescent="0.35">
      <c r="A18" s="50">
        <v>2010</v>
      </c>
      <c r="B18" s="11" t="s">
        <v>25</v>
      </c>
      <c r="C18" s="11" t="s">
        <v>43</v>
      </c>
      <c r="D18" s="10">
        <v>3</v>
      </c>
    </row>
    <row r="19" spans="1:4" x14ac:dyDescent="0.35">
      <c r="A19" s="50">
        <v>2011</v>
      </c>
      <c r="B19" s="11" t="s">
        <v>25</v>
      </c>
      <c r="C19" s="11" t="s">
        <v>43</v>
      </c>
      <c r="D19" s="10">
        <v>3</v>
      </c>
    </row>
    <row r="20" spans="1:4" x14ac:dyDescent="0.35">
      <c r="A20" s="50">
        <v>2012</v>
      </c>
      <c r="B20" s="11" t="s">
        <v>25</v>
      </c>
      <c r="C20" s="11" t="s">
        <v>43</v>
      </c>
      <c r="D20" s="10">
        <v>3</v>
      </c>
    </row>
    <row r="21" spans="1:4" x14ac:dyDescent="0.35">
      <c r="A21" s="50">
        <v>2013</v>
      </c>
      <c r="B21" s="11" t="s">
        <v>25</v>
      </c>
      <c r="C21" s="11" t="s">
        <v>43</v>
      </c>
      <c r="D21" s="10">
        <v>3</v>
      </c>
    </row>
    <row r="22" spans="1:4" x14ac:dyDescent="0.35">
      <c r="A22" s="50">
        <v>2014</v>
      </c>
      <c r="B22" s="11" t="s">
        <v>25</v>
      </c>
      <c r="C22" s="11" t="s">
        <v>43</v>
      </c>
      <c r="D22" s="10">
        <v>3</v>
      </c>
    </row>
    <row r="23" spans="1:4" x14ac:dyDescent="0.35">
      <c r="A23" s="50">
        <v>2015</v>
      </c>
      <c r="B23" s="11" t="s">
        <v>25</v>
      </c>
      <c r="C23" s="11" t="s">
        <v>43</v>
      </c>
      <c r="D23" s="10">
        <v>3</v>
      </c>
    </row>
    <row r="24" spans="1:4" x14ac:dyDescent="0.35">
      <c r="A24" s="50">
        <v>2016</v>
      </c>
      <c r="B24" s="11" t="s">
        <v>25</v>
      </c>
      <c r="C24" s="11" t="s">
        <v>43</v>
      </c>
      <c r="D24" s="10">
        <v>3</v>
      </c>
    </row>
    <row r="25" spans="1:4" x14ac:dyDescent="0.35">
      <c r="A25" s="50">
        <v>2017</v>
      </c>
      <c r="B25" s="11" t="s">
        <v>25</v>
      </c>
      <c r="C25" s="11" t="s">
        <v>43</v>
      </c>
      <c r="D25" s="10">
        <v>3</v>
      </c>
    </row>
    <row r="26" spans="1:4" x14ac:dyDescent="0.35">
      <c r="A26" s="50">
        <v>2018</v>
      </c>
      <c r="B26" s="11" t="s">
        <v>25</v>
      </c>
      <c r="C26" s="11" t="s">
        <v>43</v>
      </c>
      <c r="D26" s="10">
        <v>3</v>
      </c>
    </row>
    <row r="27" spans="1:4" x14ac:dyDescent="0.35">
      <c r="A27" s="50">
        <v>2019</v>
      </c>
      <c r="B27" s="11" t="s">
        <v>25</v>
      </c>
      <c r="C27" s="11" t="s">
        <v>43</v>
      </c>
      <c r="D27" s="10">
        <v>3</v>
      </c>
    </row>
    <row r="28" spans="1:4" x14ac:dyDescent="0.35">
      <c r="A28" s="50">
        <v>2020</v>
      </c>
      <c r="B28" s="11" t="s">
        <v>25</v>
      </c>
      <c r="C28" s="11" t="s">
        <v>43</v>
      </c>
      <c r="D28" s="10">
        <v>3</v>
      </c>
    </row>
    <row r="29" spans="1:4" x14ac:dyDescent="0.35">
      <c r="A29" s="50">
        <v>2021</v>
      </c>
      <c r="B29" s="11" t="s">
        <v>25</v>
      </c>
      <c r="C29" s="11" t="s">
        <v>43</v>
      </c>
      <c r="D29" s="10">
        <v>3</v>
      </c>
    </row>
    <row r="30" spans="1:4" x14ac:dyDescent="0.35">
      <c r="A30" s="50">
        <v>2022</v>
      </c>
      <c r="B30" s="11" t="s">
        <v>25</v>
      </c>
      <c r="C30" s="11" t="s">
        <v>43</v>
      </c>
      <c r="D30" s="10">
        <v>3</v>
      </c>
    </row>
    <row r="31" spans="1:4" x14ac:dyDescent="0.35">
      <c r="A31" s="50">
        <v>2023</v>
      </c>
      <c r="B31" s="11" t="s">
        <v>25</v>
      </c>
      <c r="C31" s="11" t="s">
        <v>43</v>
      </c>
      <c r="D31" s="10">
        <v>3</v>
      </c>
    </row>
    <row r="32" spans="1:4" x14ac:dyDescent="0.35">
      <c r="A32" s="50">
        <v>2009</v>
      </c>
      <c r="B32" s="11" t="s">
        <v>26</v>
      </c>
      <c r="C32" s="11" t="s">
        <v>44</v>
      </c>
      <c r="D32" s="13">
        <v>2.823588378480403</v>
      </c>
    </row>
    <row r="33" spans="1:4" x14ac:dyDescent="0.35">
      <c r="A33" s="50">
        <v>2010</v>
      </c>
      <c r="B33" s="11" t="s">
        <v>26</v>
      </c>
      <c r="C33" s="11" t="s">
        <v>44</v>
      </c>
      <c r="D33" s="13">
        <v>2.867858584017807</v>
      </c>
    </row>
    <row r="34" spans="1:4" x14ac:dyDescent="0.35">
      <c r="A34" s="50">
        <v>2011</v>
      </c>
      <c r="B34" s="11" t="s">
        <v>26</v>
      </c>
      <c r="C34" s="11" t="s">
        <v>44</v>
      </c>
      <c r="D34" s="13">
        <v>2.9079864103198263</v>
      </c>
    </row>
    <row r="35" spans="1:4" x14ac:dyDescent="0.35">
      <c r="A35" s="50">
        <v>2012</v>
      </c>
      <c r="B35" s="11" t="s">
        <v>26</v>
      </c>
      <c r="C35" s="11" t="s">
        <v>44</v>
      </c>
      <c r="D35" s="13">
        <v>2.9592003696809548</v>
      </c>
    </row>
    <row r="36" spans="1:4" x14ac:dyDescent="0.35">
      <c r="A36" s="50">
        <v>2013</v>
      </c>
      <c r="B36" s="11" t="s">
        <v>26</v>
      </c>
      <c r="C36" s="11" t="s">
        <v>44</v>
      </c>
      <c r="D36" s="13">
        <v>3.0105735261575308</v>
      </c>
    </row>
    <row r="37" spans="1:4" x14ac:dyDescent="0.35">
      <c r="A37" s="50">
        <v>2014</v>
      </c>
      <c r="B37" s="11" t="s">
        <v>26</v>
      </c>
      <c r="C37" s="11" t="s">
        <v>44</v>
      </c>
      <c r="D37" s="13">
        <v>3.0558147950483581</v>
      </c>
    </row>
    <row r="38" spans="1:4" x14ac:dyDescent="0.35">
      <c r="A38" s="50">
        <v>2015</v>
      </c>
      <c r="B38" s="11" t="s">
        <v>26</v>
      </c>
      <c r="C38" s="11" t="s">
        <v>44</v>
      </c>
      <c r="D38" s="13">
        <v>3.1001125964880307</v>
      </c>
    </row>
    <row r="39" spans="1:4" x14ac:dyDescent="0.35">
      <c r="A39" s="50">
        <v>2016</v>
      </c>
      <c r="B39" s="11" t="s">
        <v>26</v>
      </c>
      <c r="C39" s="11" t="s">
        <v>44</v>
      </c>
      <c r="D39" s="13">
        <v>3.1449355305888442</v>
      </c>
    </row>
    <row r="40" spans="1:4" x14ac:dyDescent="0.35">
      <c r="A40" s="50">
        <v>2017</v>
      </c>
      <c r="B40" s="11" t="s">
        <v>26</v>
      </c>
      <c r="C40" s="11" t="s">
        <v>44</v>
      </c>
      <c r="D40" s="13">
        <v>3.1971560136349098</v>
      </c>
    </row>
    <row r="41" spans="1:4" x14ac:dyDescent="0.35">
      <c r="A41" s="50">
        <v>2018</v>
      </c>
      <c r="B41" s="11" t="s">
        <v>26</v>
      </c>
      <c r="C41" s="11" t="s">
        <v>44</v>
      </c>
      <c r="D41" s="13">
        <v>3.2453449158998549</v>
      </c>
    </row>
    <row r="42" spans="1:4" x14ac:dyDescent="0.35">
      <c r="A42" s="50">
        <v>2019</v>
      </c>
      <c r="B42" s="11" t="s">
        <v>26</v>
      </c>
      <c r="C42" s="11" t="s">
        <v>44</v>
      </c>
      <c r="D42" s="13">
        <v>3.2936505625310386</v>
      </c>
    </row>
    <row r="43" spans="1:4" x14ac:dyDescent="0.35">
      <c r="A43" s="50">
        <v>2020</v>
      </c>
      <c r="B43" s="11" t="s">
        <v>26</v>
      </c>
      <c r="C43" s="11" t="s">
        <v>44</v>
      </c>
      <c r="D43" s="13">
        <v>3.3345269513079789</v>
      </c>
    </row>
    <row r="44" spans="1:4" x14ac:dyDescent="0.35">
      <c r="A44" s="50">
        <v>2021</v>
      </c>
      <c r="B44" s="11" t="s">
        <v>26</v>
      </c>
      <c r="C44" s="11" t="s">
        <v>44</v>
      </c>
      <c r="D44" s="13">
        <v>3.3392284471439231</v>
      </c>
    </row>
    <row r="45" spans="1:4" x14ac:dyDescent="0.35">
      <c r="A45" s="50">
        <v>2022</v>
      </c>
      <c r="B45" s="11" t="s">
        <v>26</v>
      </c>
      <c r="C45" s="11" t="s">
        <v>44</v>
      </c>
      <c r="D45" s="13">
        <v>3.3819983567385421</v>
      </c>
    </row>
    <row r="46" spans="1:4" ht="29" x14ac:dyDescent="0.35">
      <c r="A46" s="50">
        <v>2023</v>
      </c>
      <c r="B46" s="11" t="s">
        <v>26</v>
      </c>
      <c r="C46" s="14" t="s">
        <v>45</v>
      </c>
      <c r="D46" s="13">
        <v>3.4657928606529884</v>
      </c>
    </row>
    <row r="47" spans="1:4" x14ac:dyDescent="0.35">
      <c r="A47" s="50">
        <v>2009</v>
      </c>
      <c r="B47" s="11" t="s">
        <v>46</v>
      </c>
      <c r="C47" s="11" t="s">
        <v>47</v>
      </c>
      <c r="D47" s="10">
        <v>1.28218881008452</v>
      </c>
    </row>
    <row r="48" spans="1:4" x14ac:dyDescent="0.35">
      <c r="A48" s="50">
        <v>2010</v>
      </c>
      <c r="B48" s="11" t="s">
        <v>46</v>
      </c>
      <c r="C48" s="11" t="s">
        <v>47</v>
      </c>
      <c r="D48" s="10">
        <v>1.0901594863867701</v>
      </c>
    </row>
    <row r="49" spans="1:4" x14ac:dyDescent="0.35">
      <c r="A49" s="50">
        <v>2011</v>
      </c>
      <c r="B49" s="11" t="s">
        <v>46</v>
      </c>
      <c r="C49" s="11" t="s">
        <v>47</v>
      </c>
      <c r="D49" s="10">
        <v>0.96946320149673504</v>
      </c>
    </row>
    <row r="50" spans="1:4" x14ac:dyDescent="0.35">
      <c r="A50" s="50">
        <v>2012</v>
      </c>
      <c r="B50" s="11" t="s">
        <v>46</v>
      </c>
      <c r="C50" s="11" t="s">
        <v>47</v>
      </c>
      <c r="D50" s="10">
        <v>0.96580103065870804</v>
      </c>
    </row>
    <row r="51" spans="1:4" x14ac:dyDescent="0.35">
      <c r="A51" s="50">
        <v>2013</v>
      </c>
      <c r="B51" s="11" t="s">
        <v>46</v>
      </c>
      <c r="C51" s="11" t="s">
        <v>47</v>
      </c>
      <c r="D51" s="10">
        <v>1.0358430965205401</v>
      </c>
    </row>
    <row r="52" spans="1:4" x14ac:dyDescent="0.35">
      <c r="A52" s="50">
        <v>2014</v>
      </c>
      <c r="B52" s="11" t="s">
        <v>46</v>
      </c>
      <c r="C52" s="11" t="s">
        <v>47</v>
      </c>
      <c r="D52" s="10">
        <v>1.1093632928169199</v>
      </c>
    </row>
    <row r="53" spans="1:4" x14ac:dyDescent="0.35">
      <c r="A53" s="50">
        <v>2015</v>
      </c>
      <c r="B53" s="11" t="s">
        <v>46</v>
      </c>
      <c r="C53" s="11" t="s">
        <v>47</v>
      </c>
      <c r="D53" s="10">
        <v>1.33109026245502</v>
      </c>
    </row>
    <row r="54" spans="1:4" x14ac:dyDescent="0.35">
      <c r="A54" s="50">
        <v>2016</v>
      </c>
      <c r="B54" s="11" t="s">
        <v>46</v>
      </c>
      <c r="C54" s="11" t="s">
        <v>47</v>
      </c>
      <c r="D54" s="10">
        <v>1.3452139760194699</v>
      </c>
    </row>
    <row r="55" spans="1:4" x14ac:dyDescent="0.35">
      <c r="A55" s="50">
        <v>2017</v>
      </c>
      <c r="B55" s="11" t="s">
        <v>46</v>
      </c>
      <c r="C55" s="11" t="s">
        <v>47</v>
      </c>
      <c r="D55" s="10">
        <v>1.3047580767159199</v>
      </c>
    </row>
    <row r="56" spans="1:4" x14ac:dyDescent="0.35">
      <c r="A56" s="50">
        <v>2018</v>
      </c>
      <c r="B56" s="11" t="s">
        <v>46</v>
      </c>
      <c r="C56" s="11" t="s">
        <v>47</v>
      </c>
      <c r="D56" s="10">
        <v>1.33841214646451</v>
      </c>
    </row>
    <row r="57" spans="1:4" x14ac:dyDescent="0.35">
      <c r="A57" s="50">
        <v>2019</v>
      </c>
      <c r="B57" s="11" t="s">
        <v>46</v>
      </c>
      <c r="C57" s="11" t="s">
        <v>47</v>
      </c>
      <c r="D57" s="10">
        <v>1.4385065442138201</v>
      </c>
    </row>
    <row r="58" spans="1:4" x14ac:dyDescent="0.35">
      <c r="A58" s="50">
        <v>2020</v>
      </c>
      <c r="B58" s="11" t="s">
        <v>46</v>
      </c>
      <c r="C58" s="11" t="s">
        <v>47</v>
      </c>
      <c r="D58" s="10">
        <v>1.4530851184701601</v>
      </c>
    </row>
    <row r="59" spans="1:4" x14ac:dyDescent="0.35">
      <c r="A59" s="50">
        <v>2021</v>
      </c>
      <c r="B59" s="11" t="s">
        <v>46</v>
      </c>
      <c r="C59" s="11" t="s">
        <v>47</v>
      </c>
      <c r="D59" s="10">
        <v>1.3312242595708099</v>
      </c>
    </row>
    <row r="60" spans="1:4" x14ac:dyDescent="0.35">
      <c r="A60" s="50">
        <v>2022</v>
      </c>
      <c r="B60" s="11" t="s">
        <v>46</v>
      </c>
      <c r="C60" s="11" t="s">
        <v>47</v>
      </c>
      <c r="D60" s="10">
        <v>1.4416644589652201</v>
      </c>
    </row>
    <row r="61" spans="1:4" x14ac:dyDescent="0.35">
      <c r="A61" s="50">
        <v>2023</v>
      </c>
      <c r="B61" s="11" t="s">
        <v>46</v>
      </c>
      <c r="C61" s="11" t="s">
        <v>47</v>
      </c>
      <c r="D61" s="10">
        <v>1.50519106560509</v>
      </c>
    </row>
    <row r="62" spans="1:4" x14ac:dyDescent="0.35">
      <c r="A62" s="50">
        <v>2009</v>
      </c>
      <c r="B62" s="11" t="s">
        <v>48</v>
      </c>
      <c r="C62" s="11" t="s">
        <v>49</v>
      </c>
      <c r="D62" s="15">
        <v>1.442566</v>
      </c>
    </row>
    <row r="63" spans="1:4" x14ac:dyDescent="0.35">
      <c r="A63" s="50">
        <v>2010</v>
      </c>
      <c r="B63" s="11" t="s">
        <v>48</v>
      </c>
      <c r="C63" s="11" t="s">
        <v>49</v>
      </c>
      <c r="D63" s="15">
        <v>1.5036229999999999</v>
      </c>
    </row>
    <row r="64" spans="1:4" x14ac:dyDescent="0.35">
      <c r="A64" s="50">
        <v>2011</v>
      </c>
      <c r="B64" s="11" t="s">
        <v>48</v>
      </c>
      <c r="C64" s="11" t="s">
        <v>49</v>
      </c>
      <c r="D64" s="15">
        <v>1.5110520000000001</v>
      </c>
    </row>
    <row r="65" spans="1:4" x14ac:dyDescent="0.35">
      <c r="A65" s="50">
        <v>2012</v>
      </c>
      <c r="B65" s="11" t="s">
        <v>48</v>
      </c>
      <c r="C65" s="11" t="s">
        <v>49</v>
      </c>
      <c r="D65" s="15">
        <v>1.5401149999999999</v>
      </c>
    </row>
    <row r="66" spans="1:4" x14ac:dyDescent="0.35">
      <c r="A66" s="50">
        <v>2013</v>
      </c>
      <c r="B66" s="11" t="s">
        <v>48</v>
      </c>
      <c r="C66" s="11" t="s">
        <v>49</v>
      </c>
      <c r="D66" s="15">
        <v>1.4471229999999999</v>
      </c>
    </row>
    <row r="67" spans="1:4" x14ac:dyDescent="0.35">
      <c r="A67" s="50">
        <v>2014</v>
      </c>
      <c r="B67" s="11" t="s">
        <v>48</v>
      </c>
      <c r="C67" s="11" t="s">
        <v>49</v>
      </c>
      <c r="D67" s="15">
        <v>1.4524889999999999</v>
      </c>
    </row>
    <row r="68" spans="1:4" x14ac:dyDescent="0.35">
      <c r="A68" s="50">
        <v>2015</v>
      </c>
      <c r="B68" s="11" t="s">
        <v>48</v>
      </c>
      <c r="C68" s="11" t="s">
        <v>49</v>
      </c>
      <c r="D68" s="15">
        <v>1.4736910000000001</v>
      </c>
    </row>
    <row r="69" spans="1:4" x14ac:dyDescent="0.35">
      <c r="A69" s="50">
        <v>2016</v>
      </c>
      <c r="B69" s="11" t="s">
        <v>48</v>
      </c>
      <c r="C69" s="11" t="s">
        <v>49</v>
      </c>
      <c r="D69" s="15">
        <v>1.450156</v>
      </c>
    </row>
    <row r="70" spans="1:4" x14ac:dyDescent="0.35">
      <c r="A70" s="50">
        <v>2017</v>
      </c>
      <c r="B70" s="11" t="s">
        <v>48</v>
      </c>
      <c r="C70" s="11" t="s">
        <v>49</v>
      </c>
      <c r="D70" s="15">
        <v>1.4775529999999999</v>
      </c>
    </row>
    <row r="71" spans="1:4" x14ac:dyDescent="0.35">
      <c r="A71" s="50">
        <v>2018</v>
      </c>
      <c r="B71" s="11" t="s">
        <v>48</v>
      </c>
      <c r="C71" s="11" t="s">
        <v>49</v>
      </c>
      <c r="D71" s="15">
        <v>1.4704029999999999</v>
      </c>
    </row>
    <row r="72" spans="1:4" x14ac:dyDescent="0.35">
      <c r="A72" s="50">
        <v>2019</v>
      </c>
      <c r="B72" s="11" t="s">
        <v>48</v>
      </c>
      <c r="C72" s="11" t="s">
        <v>49</v>
      </c>
      <c r="D72" s="15">
        <v>1.4592529999999999</v>
      </c>
    </row>
    <row r="73" spans="1:4" x14ac:dyDescent="0.35">
      <c r="A73" s="50">
        <v>2020</v>
      </c>
      <c r="B73" s="11" t="s">
        <v>48</v>
      </c>
      <c r="C73" s="11" t="s">
        <v>49</v>
      </c>
      <c r="D73" s="15">
        <v>1.431163</v>
      </c>
    </row>
    <row r="74" spans="1:4" x14ac:dyDescent="0.35">
      <c r="A74" s="50">
        <v>2021</v>
      </c>
      <c r="B74" s="11" t="s">
        <v>48</v>
      </c>
      <c r="C74" s="11" t="s">
        <v>49</v>
      </c>
      <c r="D74" s="15">
        <v>1.4166829999999999</v>
      </c>
    </row>
    <row r="75" spans="1:4" x14ac:dyDescent="0.35">
      <c r="A75" s="50">
        <v>2022</v>
      </c>
      <c r="B75" s="11" t="s">
        <v>48</v>
      </c>
      <c r="C75" s="11" t="s">
        <v>49</v>
      </c>
      <c r="D75" s="15">
        <v>1.372115</v>
      </c>
    </row>
    <row r="76" spans="1:4" x14ac:dyDescent="0.35">
      <c r="A76" s="50">
        <v>2023</v>
      </c>
      <c r="B76" s="11" t="s">
        <v>48</v>
      </c>
      <c r="C76" s="11" t="s">
        <v>49</v>
      </c>
      <c r="D76" s="15">
        <v>1.3911279999999999</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30F6D4-E633-40FC-AF6A-B314E977852B}">
  <sheetPr>
    <tabColor theme="7" tint="0.79998168889431442"/>
  </sheetPr>
  <dimension ref="A1:L38"/>
  <sheetViews>
    <sheetView workbookViewId="0">
      <pane xSplit="3" ySplit="1" topLeftCell="D2" activePane="bottomRight" state="frozen"/>
      <selection pane="topRight" activeCell="D1" sqref="D1"/>
      <selection pane="bottomLeft" activeCell="A2" sqref="A2"/>
      <selection pane="bottomRight" activeCell="L2" sqref="L2"/>
    </sheetView>
  </sheetViews>
  <sheetFormatPr defaultRowHeight="14.5" x14ac:dyDescent="0.35"/>
  <cols>
    <col min="1" max="1" width="20.6328125" style="38" customWidth="1"/>
    <col min="2" max="2" width="20.6328125" style="4" customWidth="1"/>
    <col min="3" max="3" width="17.6328125" style="4" customWidth="1"/>
    <col min="4" max="4" width="17.81640625" style="4" customWidth="1"/>
    <col min="5" max="5" width="16.36328125" style="4" customWidth="1"/>
    <col min="6" max="6" width="15.26953125" style="4" customWidth="1"/>
    <col min="7" max="7" width="15.7265625" style="4" customWidth="1"/>
    <col min="8" max="8" width="16" style="4" customWidth="1"/>
    <col min="9" max="9" width="15.36328125" style="4" customWidth="1"/>
    <col min="10" max="10" width="14.54296875" style="4" customWidth="1"/>
    <col min="11" max="11" width="23.81640625" style="4" customWidth="1"/>
    <col min="12" max="12" width="23.1796875" style="4" customWidth="1"/>
    <col min="13" max="16384" width="8.7265625" style="3"/>
  </cols>
  <sheetData>
    <row r="1" spans="1:12" ht="40" customHeight="1" x14ac:dyDescent="0.35">
      <c r="A1" s="16" t="s">
        <v>50</v>
      </c>
      <c r="B1" s="6" t="s">
        <v>51</v>
      </c>
      <c r="C1" s="6" t="s">
        <v>52</v>
      </c>
      <c r="D1" s="6" t="s">
        <v>53</v>
      </c>
      <c r="E1" s="6" t="s">
        <v>54</v>
      </c>
      <c r="F1" s="6" t="s">
        <v>55</v>
      </c>
      <c r="G1" s="6" t="s">
        <v>56</v>
      </c>
      <c r="H1" s="6" t="s">
        <v>57</v>
      </c>
      <c r="I1" s="6" t="s">
        <v>58</v>
      </c>
      <c r="J1" s="6" t="s">
        <v>59</v>
      </c>
      <c r="K1" s="6" t="s">
        <v>60</v>
      </c>
      <c r="L1" s="6" t="s">
        <v>61</v>
      </c>
    </row>
    <row r="2" spans="1:12" x14ac:dyDescent="0.35">
      <c r="A2" s="38" t="s">
        <v>62</v>
      </c>
      <c r="B2" s="4" t="s">
        <v>36</v>
      </c>
      <c r="C2" s="52">
        <v>42401</v>
      </c>
      <c r="D2" s="52">
        <v>42885</v>
      </c>
      <c r="E2" s="25">
        <v>1.3452139760194699</v>
      </c>
      <c r="F2" s="25">
        <v>1</v>
      </c>
      <c r="G2" s="25">
        <v>1.450156</v>
      </c>
      <c r="H2" s="25">
        <v>1</v>
      </c>
      <c r="I2" s="25">
        <f>H2/F2</f>
        <v>1</v>
      </c>
      <c r="J2" s="4" t="s">
        <v>95</v>
      </c>
      <c r="K2" s="25">
        <v>1</v>
      </c>
      <c r="L2" s="25">
        <v>1</v>
      </c>
    </row>
    <row r="3" spans="1:12" x14ac:dyDescent="0.35">
      <c r="A3" s="38" t="s">
        <v>63</v>
      </c>
      <c r="B3" s="4" t="s">
        <v>36</v>
      </c>
      <c r="C3" s="52">
        <v>44713</v>
      </c>
      <c r="D3" s="52">
        <v>44927</v>
      </c>
      <c r="E3" s="25">
        <v>0.94983249470390541</v>
      </c>
      <c r="F3" s="25">
        <v>0.65884435785124662</v>
      </c>
      <c r="G3" s="25">
        <v>0.69464300000000001</v>
      </c>
      <c r="H3" s="25">
        <v>0.50625712859344885</v>
      </c>
      <c r="I3" s="25">
        <f t="shared" ref="I3:I38" si="0">H3/F3</f>
        <v>0.76840170604868596</v>
      </c>
      <c r="J3" s="4" t="s">
        <v>95</v>
      </c>
      <c r="K3" s="25">
        <v>0.65884435785124662</v>
      </c>
      <c r="L3" s="25">
        <v>0.50625712859344885</v>
      </c>
    </row>
    <row r="4" spans="1:12" x14ac:dyDescent="0.35">
      <c r="A4" s="38" t="s">
        <v>63</v>
      </c>
      <c r="B4" s="4" t="s">
        <v>64</v>
      </c>
      <c r="C4" s="52">
        <v>44713</v>
      </c>
      <c r="D4" s="52">
        <v>44927</v>
      </c>
      <c r="E4" s="25">
        <v>0.94983249470390541</v>
      </c>
      <c r="F4" s="25">
        <v>0.65884435785124662</v>
      </c>
      <c r="G4" s="25">
        <v>0.69464300000000001</v>
      </c>
      <c r="H4" s="25">
        <v>0.50625712859344885</v>
      </c>
      <c r="I4" s="25">
        <f t="shared" si="0"/>
        <v>0.76840170604868596</v>
      </c>
      <c r="J4" s="4" t="s">
        <v>95</v>
      </c>
      <c r="K4" s="25">
        <v>0.65884435785124662</v>
      </c>
      <c r="L4" s="25">
        <v>0.50625712859344885</v>
      </c>
    </row>
    <row r="5" spans="1:12" x14ac:dyDescent="0.35">
      <c r="A5" s="38" t="s">
        <v>65</v>
      </c>
      <c r="B5" s="4" t="s">
        <v>37</v>
      </c>
      <c r="C5" s="52">
        <v>42156</v>
      </c>
      <c r="D5" s="52">
        <v>42115</v>
      </c>
      <c r="E5" s="25">
        <v>1.27878620362554</v>
      </c>
      <c r="F5" s="25">
        <v>0.96070585120725616</v>
      </c>
      <c r="G5" s="25">
        <v>1.2480420000000001</v>
      </c>
      <c r="H5" s="25">
        <v>0.84688174115197823</v>
      </c>
      <c r="I5" s="25">
        <f t="shared" si="0"/>
        <v>0.88152033225128934</v>
      </c>
      <c r="J5" s="4" t="s">
        <v>95</v>
      </c>
      <c r="K5" s="25">
        <v>0.96070585120725616</v>
      </c>
      <c r="L5" s="25">
        <v>0.84688174115197823</v>
      </c>
    </row>
    <row r="6" spans="1:12" x14ac:dyDescent="0.35">
      <c r="A6" s="38" t="s">
        <v>66</v>
      </c>
      <c r="B6" s="4" t="s">
        <v>36</v>
      </c>
      <c r="C6" s="52">
        <v>44986</v>
      </c>
      <c r="D6" s="52">
        <v>45584</v>
      </c>
      <c r="E6" s="25">
        <v>0.92505233646725182</v>
      </c>
      <c r="F6" s="25">
        <v>0.61457469261244835</v>
      </c>
      <c r="G6" s="25">
        <v>0.432290262501</v>
      </c>
      <c r="H6" s="25">
        <v>0.31074801348330278</v>
      </c>
      <c r="I6" s="25">
        <f t="shared" si="0"/>
        <v>0.50563099525359223</v>
      </c>
      <c r="J6" s="4" t="s">
        <v>95</v>
      </c>
      <c r="K6" s="25">
        <v>0.61457469261244835</v>
      </c>
      <c r="L6" s="25">
        <v>0.31074801348330278</v>
      </c>
    </row>
    <row r="7" spans="1:12" x14ac:dyDescent="0.35">
      <c r="A7" s="38" t="s">
        <v>66</v>
      </c>
      <c r="B7" s="4" t="s">
        <v>64</v>
      </c>
      <c r="C7" s="52">
        <v>44986</v>
      </c>
      <c r="D7" s="52">
        <v>45584</v>
      </c>
      <c r="E7" s="25">
        <v>0.92505233646725182</v>
      </c>
      <c r="F7" s="25">
        <v>0.61457469261244835</v>
      </c>
      <c r="G7" s="25">
        <v>0.432290262501</v>
      </c>
      <c r="H7" s="25">
        <v>0.31074801348330278</v>
      </c>
      <c r="I7" s="25">
        <f t="shared" si="0"/>
        <v>0.50563099525359223</v>
      </c>
      <c r="J7" s="4" t="s">
        <v>95</v>
      </c>
      <c r="K7" s="25">
        <v>0.61457469261244835</v>
      </c>
      <c r="L7" s="25">
        <v>0.31074801348330278</v>
      </c>
    </row>
    <row r="8" spans="1:12" x14ac:dyDescent="0.35">
      <c r="A8" s="38" t="s">
        <v>67</v>
      </c>
      <c r="B8" s="4" t="s">
        <v>36</v>
      </c>
      <c r="C8" s="52">
        <v>41579</v>
      </c>
      <c r="D8" s="52">
        <v>41697</v>
      </c>
      <c r="E8" s="25">
        <v>19.5705833333333</v>
      </c>
      <c r="F8" s="25">
        <v>18.893385879649223</v>
      </c>
      <c r="G8" s="25">
        <v>12.785271</v>
      </c>
      <c r="H8" s="25">
        <v>8.8349580512506538</v>
      </c>
      <c r="I8" s="25">
        <f t="shared" si="0"/>
        <v>0.46762174379591326</v>
      </c>
      <c r="J8" s="4" t="s">
        <v>95</v>
      </c>
      <c r="K8" s="25">
        <v>18.893385879649223</v>
      </c>
      <c r="L8" s="25">
        <v>8.8349580512506538</v>
      </c>
    </row>
    <row r="9" spans="1:12" x14ac:dyDescent="0.35">
      <c r="A9" s="38" t="s">
        <v>67</v>
      </c>
      <c r="B9" s="4" t="s">
        <v>36</v>
      </c>
      <c r="C9" s="52">
        <v>42522</v>
      </c>
      <c r="D9" s="52">
        <v>42635</v>
      </c>
      <c r="E9" s="25">
        <v>24.439916666666701</v>
      </c>
      <c r="F9" s="25">
        <v>18.168051404717914</v>
      </c>
      <c r="G9" s="25">
        <v>12.576343</v>
      </c>
      <c r="H9" s="25">
        <v>8.6724069686295824</v>
      </c>
      <c r="I9" s="25">
        <f t="shared" si="0"/>
        <v>0.4773438149991977</v>
      </c>
      <c r="J9" s="4" t="s">
        <v>95</v>
      </c>
      <c r="K9" s="25">
        <v>18.168051404717914</v>
      </c>
      <c r="L9" s="25">
        <v>8.6724069686295824</v>
      </c>
    </row>
    <row r="10" spans="1:12" x14ac:dyDescent="0.35">
      <c r="A10" s="38" t="s">
        <v>68</v>
      </c>
      <c r="B10" s="4" t="s">
        <v>69</v>
      </c>
      <c r="C10" s="52">
        <v>42614</v>
      </c>
      <c r="D10" s="52">
        <v>42899</v>
      </c>
      <c r="E10" s="25">
        <v>6.7317182572463796</v>
      </c>
      <c r="F10" s="25">
        <v>5.0041988689158163</v>
      </c>
      <c r="G10" s="25">
        <v>7.0798560000000004</v>
      </c>
      <c r="H10" s="25">
        <v>4.8821340600597454</v>
      </c>
      <c r="I10" s="25">
        <f t="shared" si="0"/>
        <v>0.97560752239198745</v>
      </c>
      <c r="J10" s="4" t="s">
        <v>95</v>
      </c>
      <c r="K10" s="25">
        <v>5.0041988689158163</v>
      </c>
      <c r="L10" s="25">
        <v>4.8821340600597454</v>
      </c>
    </row>
    <row r="11" spans="1:12" x14ac:dyDescent="0.35">
      <c r="A11" s="38" t="s">
        <v>70</v>
      </c>
      <c r="B11" s="4" t="s">
        <v>64</v>
      </c>
      <c r="C11" s="52">
        <v>40299</v>
      </c>
      <c r="D11" s="52">
        <v>40299</v>
      </c>
      <c r="E11" s="25">
        <v>0.75398996409198182</v>
      </c>
      <c r="F11" s="25">
        <v>0.69163271384355862</v>
      </c>
      <c r="G11" s="25">
        <v>0.85477999999999998</v>
      </c>
      <c r="H11" s="25">
        <v>0.5684802640023463</v>
      </c>
      <c r="I11" s="25">
        <f t="shared" si="0"/>
        <v>0.82193952458259756</v>
      </c>
      <c r="J11" s="4" t="s">
        <v>95</v>
      </c>
      <c r="K11" s="25">
        <v>0.69163271384355862</v>
      </c>
      <c r="L11" s="25">
        <v>0.5684802640023463</v>
      </c>
    </row>
    <row r="12" spans="1:12" x14ac:dyDescent="0.35">
      <c r="A12" s="38" t="s">
        <v>71</v>
      </c>
      <c r="B12" s="4" t="s">
        <v>72</v>
      </c>
      <c r="C12" s="52">
        <v>42156</v>
      </c>
      <c r="D12" s="52">
        <v>42156</v>
      </c>
      <c r="E12" s="25">
        <v>0.90162043458835017</v>
      </c>
      <c r="F12" s="25">
        <v>0.67735484213176533</v>
      </c>
      <c r="G12" s="25">
        <v>0.77812199999999998</v>
      </c>
      <c r="H12" s="25">
        <v>0.5280089245303119</v>
      </c>
      <c r="I12" s="25">
        <f t="shared" si="0"/>
        <v>0.77951598141465517</v>
      </c>
      <c r="J12" s="4" t="s">
        <v>95</v>
      </c>
      <c r="K12" s="25">
        <v>0.67735484213176533</v>
      </c>
      <c r="L12" s="25">
        <v>0.5280089245303119</v>
      </c>
    </row>
    <row r="13" spans="1:12" x14ac:dyDescent="0.35">
      <c r="A13" s="38" t="s">
        <v>71</v>
      </c>
      <c r="B13" s="4" t="s">
        <v>69</v>
      </c>
      <c r="C13" s="52">
        <v>42156</v>
      </c>
      <c r="D13" s="52">
        <v>42736</v>
      </c>
      <c r="E13" s="25">
        <v>0.90162043458835017</v>
      </c>
      <c r="F13" s="25">
        <v>0.67735484213176533</v>
      </c>
      <c r="G13" s="25">
        <v>0.77812199999999998</v>
      </c>
      <c r="H13" s="25">
        <v>0.5280089245303119</v>
      </c>
      <c r="I13" s="25">
        <f t="shared" si="0"/>
        <v>0.77951598141465517</v>
      </c>
      <c r="J13" s="4" t="s">
        <v>95</v>
      </c>
      <c r="K13" s="25">
        <v>0.67735484213176533</v>
      </c>
      <c r="L13" s="25">
        <v>0.5280089245303119</v>
      </c>
    </row>
    <row r="14" spans="1:12" x14ac:dyDescent="0.35">
      <c r="A14" s="38" t="s">
        <v>71</v>
      </c>
      <c r="B14" s="4" t="s">
        <v>64</v>
      </c>
      <c r="C14" s="52">
        <v>43617</v>
      </c>
      <c r="D14" s="52">
        <v>43617</v>
      </c>
      <c r="E14" s="25">
        <v>0.89312273620726912</v>
      </c>
      <c r="F14" s="25">
        <v>0.62086803831357129</v>
      </c>
      <c r="G14" s="25">
        <v>0.71774499999999997</v>
      </c>
      <c r="H14" s="25">
        <v>0.49185782040537179</v>
      </c>
      <c r="I14" s="25">
        <f t="shared" si="0"/>
        <v>0.79220992232323206</v>
      </c>
      <c r="J14" s="4" t="s">
        <v>95</v>
      </c>
      <c r="K14" s="25">
        <v>0.62086803831357129</v>
      </c>
      <c r="L14" s="25">
        <v>0.49185782040537179</v>
      </c>
    </row>
    <row r="15" spans="1:12" x14ac:dyDescent="0.35">
      <c r="A15" s="38" t="s">
        <v>73</v>
      </c>
      <c r="B15" s="4" t="s">
        <v>37</v>
      </c>
      <c r="C15" s="52">
        <v>44166</v>
      </c>
      <c r="D15" s="52">
        <v>44166</v>
      </c>
      <c r="E15" s="25">
        <v>0.87692692915771175</v>
      </c>
      <c r="F15" s="25">
        <v>0.60349315949292748</v>
      </c>
      <c r="G15" s="25">
        <v>0.53025100000000003</v>
      </c>
      <c r="H15" s="25">
        <v>0.3705035694746161</v>
      </c>
      <c r="I15" s="25">
        <f t="shared" si="0"/>
        <v>0.61393168032910928</v>
      </c>
      <c r="J15" s="4" t="s">
        <v>95</v>
      </c>
      <c r="K15" s="25">
        <v>0.60349315949292748</v>
      </c>
      <c r="L15" s="25">
        <v>0.3705035694746161</v>
      </c>
    </row>
    <row r="16" spans="1:12" x14ac:dyDescent="0.35">
      <c r="A16" s="38" t="s">
        <v>74</v>
      </c>
      <c r="B16" s="4" t="s">
        <v>36</v>
      </c>
      <c r="C16" s="52">
        <v>41883</v>
      </c>
      <c r="D16" s="52">
        <v>41911</v>
      </c>
      <c r="E16" s="25">
        <v>232.601666666667</v>
      </c>
      <c r="F16" s="25">
        <v>209.67132063297288</v>
      </c>
      <c r="G16" s="25">
        <v>129.414974</v>
      </c>
      <c r="H16" s="25">
        <v>89.098763570670769</v>
      </c>
      <c r="I16" s="25">
        <f t="shared" si="0"/>
        <v>0.42494492475982004</v>
      </c>
      <c r="J16" s="4" t="s">
        <v>95</v>
      </c>
      <c r="K16" s="25">
        <v>209.67132063297288</v>
      </c>
      <c r="L16" s="25">
        <v>89.098763570670769</v>
      </c>
    </row>
    <row r="17" spans="1:12" x14ac:dyDescent="0.35">
      <c r="A17" s="38" t="s">
        <v>74</v>
      </c>
      <c r="B17" s="4" t="s">
        <v>64</v>
      </c>
      <c r="C17" s="52">
        <v>43891</v>
      </c>
      <c r="D17" s="52">
        <v>43916</v>
      </c>
      <c r="E17" s="25">
        <v>307.99666666666701</v>
      </c>
      <c r="F17" s="25">
        <v>211.96051267177842</v>
      </c>
      <c r="G17" s="25">
        <v>141.838435</v>
      </c>
      <c r="H17" s="25">
        <v>99.107114283977438</v>
      </c>
      <c r="I17" s="25">
        <f t="shared" si="0"/>
        <v>0.46757347882737549</v>
      </c>
      <c r="J17" s="4" t="s">
        <v>95</v>
      </c>
      <c r="K17" s="25">
        <v>211.96051267177842</v>
      </c>
      <c r="L17" s="25">
        <v>99.107114283977438</v>
      </c>
    </row>
    <row r="18" spans="1:12" x14ac:dyDescent="0.35">
      <c r="A18" s="38" t="s">
        <v>74</v>
      </c>
      <c r="B18" s="4" t="s">
        <v>36</v>
      </c>
      <c r="C18" s="52">
        <v>44197</v>
      </c>
      <c r="D18" s="52">
        <v>44660</v>
      </c>
      <c r="E18" s="25">
        <v>303.14083333333298</v>
      </c>
      <c r="F18" s="25">
        <v>227.71582710719707</v>
      </c>
      <c r="G18" s="25">
        <v>147.10819799999999</v>
      </c>
      <c r="H18" s="25">
        <v>103.83988372839936</v>
      </c>
      <c r="I18" s="25">
        <f t="shared" si="0"/>
        <v>0.45600644034073573</v>
      </c>
      <c r="J18" s="4" t="s">
        <v>95</v>
      </c>
      <c r="K18" s="25">
        <v>227.71582710719707</v>
      </c>
      <c r="L18" s="25">
        <v>103.83988372839936</v>
      </c>
    </row>
    <row r="19" spans="1:12" x14ac:dyDescent="0.35">
      <c r="A19" s="38" t="s">
        <v>75</v>
      </c>
      <c r="B19" s="4" t="s">
        <v>69</v>
      </c>
      <c r="C19" s="52">
        <v>40787</v>
      </c>
      <c r="D19" s="52">
        <v>40787</v>
      </c>
      <c r="E19" s="25">
        <v>0.71814776712284922</v>
      </c>
      <c r="F19" s="25">
        <v>0.74076846445962585</v>
      </c>
      <c r="G19" s="25">
        <v>0.758687</v>
      </c>
      <c r="H19" s="25">
        <v>0.50209192006628489</v>
      </c>
      <c r="I19" s="25">
        <f t="shared" si="0"/>
        <v>0.67779872410274622</v>
      </c>
      <c r="J19" s="53" t="s">
        <v>95</v>
      </c>
      <c r="K19" s="54">
        <v>0.74076846445962585</v>
      </c>
      <c r="L19" s="54">
        <v>0.50209192006628489</v>
      </c>
    </row>
    <row r="20" spans="1:12" x14ac:dyDescent="0.35">
      <c r="A20" s="38" t="s">
        <v>75</v>
      </c>
      <c r="B20" s="4" t="s">
        <v>72</v>
      </c>
      <c r="C20" s="52">
        <v>42248</v>
      </c>
      <c r="D20" s="52">
        <v>42248</v>
      </c>
      <c r="E20" s="25">
        <v>0.90162043458835017</v>
      </c>
      <c r="F20" s="25">
        <v>0.67735484213176533</v>
      </c>
      <c r="G20" s="25">
        <v>0.73869399999999996</v>
      </c>
      <c r="H20" s="25">
        <v>0.50125433350682058</v>
      </c>
      <c r="I20" s="25">
        <f t="shared" si="0"/>
        <v>0.74001734737626923</v>
      </c>
      <c r="J20" s="4" t="s">
        <v>95</v>
      </c>
      <c r="K20" s="25">
        <v>0.67735484213176533</v>
      </c>
      <c r="L20" s="25">
        <v>0.50125433350682058</v>
      </c>
    </row>
    <row r="21" spans="1:12" x14ac:dyDescent="0.35">
      <c r="A21" s="38" t="s">
        <v>76</v>
      </c>
      <c r="B21" s="4" t="s">
        <v>37</v>
      </c>
      <c r="C21" s="52">
        <v>41244</v>
      </c>
      <c r="D21" s="52">
        <v>43739</v>
      </c>
      <c r="E21" s="25">
        <v>5.8174999999999999</v>
      </c>
      <c r="F21" s="25">
        <v>6.0234974030129926</v>
      </c>
      <c r="G21" s="25">
        <v>9.0370849999999994</v>
      </c>
      <c r="H21" s="25">
        <v>5.8677988332040139</v>
      </c>
      <c r="I21" s="25">
        <f t="shared" si="0"/>
        <v>0.97415146726367019</v>
      </c>
      <c r="J21" s="4" t="s">
        <v>95</v>
      </c>
      <c r="K21" s="25">
        <v>6.0234974030129926</v>
      </c>
      <c r="L21" s="25">
        <v>5.8677988332040139</v>
      </c>
    </row>
    <row r="22" spans="1:12" x14ac:dyDescent="0.35">
      <c r="A22" s="38" t="s">
        <v>76</v>
      </c>
      <c r="B22" s="4" t="s">
        <v>69</v>
      </c>
      <c r="C22" s="52">
        <v>42339</v>
      </c>
      <c r="D22" s="52">
        <v>42401</v>
      </c>
      <c r="E22" s="25">
        <v>8.0641666666666705</v>
      </c>
      <c r="F22" s="25">
        <v>6.0583169257007263</v>
      </c>
      <c r="G22" s="25">
        <v>9.9325159999999997</v>
      </c>
      <c r="H22" s="25">
        <v>6.7398905197901042</v>
      </c>
      <c r="I22" s="25">
        <f t="shared" si="0"/>
        <v>1.1125021358981719</v>
      </c>
      <c r="J22" s="4" t="s">
        <v>95</v>
      </c>
      <c r="K22" s="25">
        <v>6.0583169257007263</v>
      </c>
      <c r="L22" s="25">
        <v>6.7398905197901042</v>
      </c>
    </row>
    <row r="23" spans="1:12" x14ac:dyDescent="0.35">
      <c r="A23" s="38" t="s">
        <v>77</v>
      </c>
      <c r="B23" s="4" t="s">
        <v>69</v>
      </c>
      <c r="C23" s="52">
        <v>41183</v>
      </c>
      <c r="D23" s="52">
        <v>41275</v>
      </c>
      <c r="E23" s="25">
        <v>3.2565416666666702</v>
      </c>
      <c r="F23" s="25">
        <v>3.3718556548294445</v>
      </c>
      <c r="G23" s="25">
        <v>1.796168</v>
      </c>
      <c r="H23" s="25">
        <v>1.1662557666148308</v>
      </c>
      <c r="I23" s="25">
        <f t="shared" si="0"/>
        <v>0.3458795055311531</v>
      </c>
      <c r="J23" s="53" t="s">
        <v>93</v>
      </c>
      <c r="K23" s="54">
        <v>0.80600382784180313</v>
      </c>
      <c r="L23" s="54">
        <v>0.27878020543013954</v>
      </c>
    </row>
    <row r="24" spans="1:12" x14ac:dyDescent="0.35">
      <c r="A24" s="38" t="s">
        <v>78</v>
      </c>
      <c r="B24" s="4" t="s">
        <v>36</v>
      </c>
      <c r="C24" s="52">
        <v>44470</v>
      </c>
      <c r="D24" s="52">
        <v>44530</v>
      </c>
      <c r="E24" s="25">
        <v>0.84457913917678851</v>
      </c>
      <c r="F24" s="25">
        <v>0.63443791164764607</v>
      </c>
      <c r="G24" s="25">
        <v>0.53762900000000002</v>
      </c>
      <c r="H24" s="25">
        <v>0.37949844813553918</v>
      </c>
      <c r="I24" s="25">
        <f t="shared" si="0"/>
        <v>0.59816483404967913</v>
      </c>
      <c r="J24" s="4" t="s">
        <v>95</v>
      </c>
      <c r="K24" s="25">
        <v>0.63443791164764607</v>
      </c>
      <c r="L24" s="25">
        <v>0.37949844813553918</v>
      </c>
    </row>
    <row r="25" spans="1:12" x14ac:dyDescent="0.35">
      <c r="A25" s="38" t="s">
        <v>78</v>
      </c>
      <c r="B25" s="4" t="s">
        <v>64</v>
      </c>
      <c r="C25" s="52">
        <v>44470</v>
      </c>
      <c r="D25" s="52">
        <v>44526</v>
      </c>
      <c r="E25" s="25">
        <v>0.84457913917678851</v>
      </c>
      <c r="F25" s="25">
        <v>0.63443791164764607</v>
      </c>
      <c r="G25" s="25">
        <v>0.53762900000000002</v>
      </c>
      <c r="H25" s="25">
        <v>0.37949844813553918</v>
      </c>
      <c r="I25" s="25">
        <f t="shared" si="0"/>
        <v>0.59816483404967913</v>
      </c>
      <c r="J25" s="4" t="s">
        <v>95</v>
      </c>
      <c r="K25" s="25">
        <v>0.63443791164764607</v>
      </c>
      <c r="L25" s="25">
        <v>0.37949844813553918</v>
      </c>
    </row>
    <row r="26" spans="1:12" x14ac:dyDescent="0.35">
      <c r="A26" s="38" t="s">
        <v>79</v>
      </c>
      <c r="B26" s="4" t="s">
        <v>72</v>
      </c>
      <c r="C26" s="52">
        <v>44287</v>
      </c>
      <c r="D26" s="52">
        <v>44362</v>
      </c>
      <c r="E26" s="25">
        <v>0.84457913917678851</v>
      </c>
      <c r="F26" s="25">
        <v>0.63443791164764607</v>
      </c>
      <c r="G26" s="25">
        <v>0.53329300000000002</v>
      </c>
      <c r="H26" s="25">
        <v>0.37643777754091778</v>
      </c>
      <c r="I26" s="25">
        <f t="shared" si="0"/>
        <v>0.59334061005796845</v>
      </c>
      <c r="J26" s="4" t="s">
        <v>95</v>
      </c>
      <c r="K26" s="25">
        <v>0.63443791164764607</v>
      </c>
      <c r="L26" s="25">
        <v>0.37643777754091778</v>
      </c>
    </row>
    <row r="27" spans="1:12" x14ac:dyDescent="0.35">
      <c r="A27" s="38" t="s">
        <v>79</v>
      </c>
      <c r="B27" s="4" t="s">
        <v>64</v>
      </c>
      <c r="C27" s="52">
        <v>44287</v>
      </c>
      <c r="D27" s="52">
        <v>44461</v>
      </c>
      <c r="E27" s="25">
        <v>0.84457913917678851</v>
      </c>
      <c r="F27" s="25">
        <v>0.63443791164764607</v>
      </c>
      <c r="G27" s="25">
        <v>0.53329300000000002</v>
      </c>
      <c r="H27" s="25">
        <v>0.37643777754091778</v>
      </c>
      <c r="I27" s="25">
        <f t="shared" si="0"/>
        <v>0.59334061005796845</v>
      </c>
      <c r="J27" s="4" t="s">
        <v>95</v>
      </c>
      <c r="K27" s="25">
        <v>0.63443791164764607</v>
      </c>
      <c r="L27" s="25">
        <v>0.37643777754091778</v>
      </c>
    </row>
    <row r="28" spans="1:12" x14ac:dyDescent="0.35">
      <c r="A28" s="38" t="s">
        <v>80</v>
      </c>
      <c r="B28" s="4" t="s">
        <v>69</v>
      </c>
      <c r="C28" s="52">
        <v>40664</v>
      </c>
      <c r="D28" s="52">
        <v>40709</v>
      </c>
      <c r="E28" s="25">
        <v>0.71814776712284922</v>
      </c>
      <c r="F28" s="25">
        <v>0.74076846445962585</v>
      </c>
      <c r="G28" s="25">
        <v>0.71412900000000001</v>
      </c>
      <c r="H28" s="25">
        <v>0.47260385479784944</v>
      </c>
      <c r="I28" s="25">
        <f t="shared" si="0"/>
        <v>0.63799132586266816</v>
      </c>
      <c r="J28" s="4" t="s">
        <v>95</v>
      </c>
      <c r="K28" s="25">
        <v>0.74076846445962585</v>
      </c>
      <c r="L28" s="25">
        <v>0.47260385479784944</v>
      </c>
    </row>
    <row r="29" spans="1:12" x14ac:dyDescent="0.35">
      <c r="A29" s="38" t="s">
        <v>81</v>
      </c>
      <c r="B29" s="4" t="s">
        <v>69</v>
      </c>
      <c r="C29" s="52">
        <v>40817</v>
      </c>
      <c r="D29" s="52">
        <v>41275</v>
      </c>
      <c r="E29" s="25">
        <v>6.4935433333333297</v>
      </c>
      <c r="F29" s="25">
        <v>6.6980812921089496</v>
      </c>
      <c r="G29" s="25">
        <v>8.844042</v>
      </c>
      <c r="H29" s="25">
        <v>5.8529038047664805</v>
      </c>
      <c r="I29" s="25">
        <f t="shared" si="0"/>
        <v>0.87381797107506332</v>
      </c>
      <c r="J29" s="4" t="s">
        <v>95</v>
      </c>
      <c r="K29" s="25">
        <v>6.6980812921089496</v>
      </c>
      <c r="L29" s="25">
        <v>5.8529038047664805</v>
      </c>
    </row>
    <row r="30" spans="1:12" x14ac:dyDescent="0.35">
      <c r="A30" s="38" t="s">
        <v>81</v>
      </c>
      <c r="B30" s="4" t="s">
        <v>69</v>
      </c>
      <c r="C30" s="52">
        <v>42644</v>
      </c>
      <c r="D30" s="52">
        <v>42887</v>
      </c>
      <c r="E30" s="25">
        <v>8.5619916666666693</v>
      </c>
      <c r="F30" s="25">
        <v>6.3647804879353611</v>
      </c>
      <c r="G30" s="25">
        <v>8.8225859999999994</v>
      </c>
      <c r="H30" s="25">
        <v>6.0838875265833465</v>
      </c>
      <c r="I30" s="25">
        <f t="shared" si="0"/>
        <v>0.95586761210626892</v>
      </c>
      <c r="J30" s="4" t="s">
        <v>95</v>
      </c>
      <c r="K30" s="25">
        <v>6.3647804879353611</v>
      </c>
      <c r="L30" s="25">
        <v>6.0838875265833465</v>
      </c>
    </row>
    <row r="31" spans="1:12" x14ac:dyDescent="0.35">
      <c r="A31" s="38" t="s">
        <v>81</v>
      </c>
      <c r="B31" s="4" t="s">
        <v>64</v>
      </c>
      <c r="C31" s="79">
        <v>45170</v>
      </c>
      <c r="D31" s="79">
        <v>46023</v>
      </c>
      <c r="E31" s="25">
        <v>10.610161296553599</v>
      </c>
      <c r="F31" s="25">
        <v>7.0490461569995384</v>
      </c>
      <c r="G31" s="25">
        <v>8.5092809999999997</v>
      </c>
      <c r="H31" s="25">
        <v>6.116821025815022</v>
      </c>
      <c r="I31" s="25">
        <f t="shared" si="0"/>
        <v>0.86775159214146458</v>
      </c>
      <c r="J31" s="4" t="s">
        <v>95</v>
      </c>
      <c r="K31" s="25">
        <v>7.0490461569995384</v>
      </c>
      <c r="L31" s="25">
        <v>6.116821025815022</v>
      </c>
    </row>
    <row r="32" spans="1:12" x14ac:dyDescent="0.35">
      <c r="A32" s="38" t="s">
        <v>82</v>
      </c>
      <c r="B32" s="4" t="s">
        <v>83</v>
      </c>
      <c r="C32" s="79">
        <v>41671</v>
      </c>
      <c r="D32" s="79">
        <v>41718</v>
      </c>
      <c r="E32" s="25">
        <v>1</v>
      </c>
      <c r="F32" s="25">
        <v>0.90141796332631285</v>
      </c>
      <c r="G32" s="25">
        <v>1</v>
      </c>
      <c r="H32" s="25">
        <v>0.6884733722596178</v>
      </c>
      <c r="I32" s="25">
        <f t="shared" si="0"/>
        <v>0.76376708726669873</v>
      </c>
      <c r="J32" s="4" t="s">
        <v>95</v>
      </c>
      <c r="K32" s="25">
        <v>0.90141796332631285</v>
      </c>
      <c r="L32" s="25">
        <v>0.6884733722596178</v>
      </c>
    </row>
    <row r="33" spans="1:12" x14ac:dyDescent="0.35">
      <c r="A33" s="38" t="s">
        <v>82</v>
      </c>
      <c r="B33" s="4" t="s">
        <v>84</v>
      </c>
      <c r="C33" s="79">
        <v>42005</v>
      </c>
      <c r="D33" s="79">
        <v>42054</v>
      </c>
      <c r="E33" s="25">
        <v>1</v>
      </c>
      <c r="F33" s="25">
        <v>0.75126385355387704</v>
      </c>
      <c r="G33" s="25">
        <v>1</v>
      </c>
      <c r="H33" s="25">
        <v>0.6785683023103215</v>
      </c>
      <c r="I33" s="25">
        <f t="shared" si="0"/>
        <v>0.90323565961590335</v>
      </c>
      <c r="J33" s="4" t="s">
        <v>95</v>
      </c>
      <c r="K33" s="25">
        <v>0.75126385355387704</v>
      </c>
      <c r="L33" s="25">
        <v>0.6785683023103215</v>
      </c>
    </row>
    <row r="34" spans="1:12" x14ac:dyDescent="0.35">
      <c r="A34" s="38" t="s">
        <v>85</v>
      </c>
      <c r="B34" s="4" t="s">
        <v>86</v>
      </c>
      <c r="C34" s="79">
        <v>41334</v>
      </c>
      <c r="D34" s="79">
        <v>41375</v>
      </c>
      <c r="E34" s="25">
        <v>20.481608333333298</v>
      </c>
      <c r="F34" s="25">
        <v>19.772886841773879</v>
      </c>
      <c r="G34" s="25">
        <v>18.175727331214201</v>
      </c>
      <c r="H34" s="25">
        <v>12.559904950176454</v>
      </c>
      <c r="I34" s="25">
        <f t="shared" si="0"/>
        <v>0.6352084574540392</v>
      </c>
      <c r="J34" s="4" t="s">
        <v>94</v>
      </c>
      <c r="K34" s="25">
        <v>0.96539717584551255</v>
      </c>
      <c r="L34" s="25">
        <v>0.61322845089931388</v>
      </c>
    </row>
    <row r="35" spans="1:12" x14ac:dyDescent="0.35">
      <c r="A35" s="38" t="s">
        <v>85</v>
      </c>
      <c r="B35" s="4" t="s">
        <v>87</v>
      </c>
      <c r="C35" s="79">
        <v>41334</v>
      </c>
      <c r="D35" s="79">
        <v>43903</v>
      </c>
      <c r="E35" s="25">
        <v>20.481608333333298</v>
      </c>
      <c r="F35" s="25">
        <v>19.772886841773879</v>
      </c>
      <c r="G35" s="25">
        <v>18.175727331214201</v>
      </c>
      <c r="H35" s="25">
        <v>12.559904950176454</v>
      </c>
      <c r="I35" s="25">
        <f t="shared" si="0"/>
        <v>0.6352084574540392</v>
      </c>
      <c r="J35" s="4" t="s">
        <v>94</v>
      </c>
      <c r="K35" s="25">
        <v>0.96539717584551255</v>
      </c>
      <c r="L35" s="25">
        <v>0.61322845089931388</v>
      </c>
    </row>
    <row r="36" spans="1:12" x14ac:dyDescent="0.35">
      <c r="A36" s="38" t="s">
        <v>85</v>
      </c>
      <c r="B36" s="4" t="s">
        <v>86</v>
      </c>
      <c r="C36" s="79">
        <v>42979</v>
      </c>
      <c r="D36" s="79">
        <v>43007</v>
      </c>
      <c r="E36" s="25">
        <v>28.676400000000001</v>
      </c>
      <c r="F36" s="25">
        <v>21.978327256021736</v>
      </c>
      <c r="G36" s="25">
        <v>23.304756164550799</v>
      </c>
      <c r="H36" s="25">
        <v>15.772534836009809</v>
      </c>
      <c r="I36" s="25">
        <f t="shared" si="0"/>
        <v>0.71764036690682953</v>
      </c>
      <c r="J36" s="4" t="s">
        <v>94</v>
      </c>
      <c r="K36" s="25">
        <v>0.76642560628327594</v>
      </c>
      <c r="L36" s="25">
        <v>0.55001795329991943</v>
      </c>
    </row>
    <row r="37" spans="1:12" x14ac:dyDescent="0.35">
      <c r="A37" s="38" t="s">
        <v>85</v>
      </c>
      <c r="B37" s="4" t="s">
        <v>64</v>
      </c>
      <c r="C37" s="79">
        <v>42979</v>
      </c>
      <c r="D37" s="79">
        <v>43007</v>
      </c>
      <c r="E37" s="25">
        <v>28.676400000000001</v>
      </c>
      <c r="F37" s="25">
        <v>21.978327256021736</v>
      </c>
      <c r="G37" s="25">
        <v>23.304756164550799</v>
      </c>
      <c r="H37" s="25">
        <v>15.772534836009809</v>
      </c>
      <c r="I37" s="25">
        <f t="shared" si="0"/>
        <v>0.71764036690682953</v>
      </c>
      <c r="J37" s="4" t="s">
        <v>94</v>
      </c>
      <c r="K37" s="25">
        <v>0.76642560628327594</v>
      </c>
      <c r="L37" s="25">
        <v>0.55001795329991943</v>
      </c>
    </row>
    <row r="38" spans="1:12" x14ac:dyDescent="0.35">
      <c r="A38" s="38" t="s">
        <v>85</v>
      </c>
      <c r="B38" s="4" t="s">
        <v>86</v>
      </c>
      <c r="C38" s="79">
        <v>43770</v>
      </c>
      <c r="D38" s="79">
        <v>43812</v>
      </c>
      <c r="E38" s="25">
        <v>35.255375000000001</v>
      </c>
      <c r="F38" s="25">
        <v>24.508317422544607</v>
      </c>
      <c r="G38" s="25">
        <v>25.045021057128899</v>
      </c>
      <c r="H38" s="25">
        <v>17.16290530643343</v>
      </c>
      <c r="I38" s="25">
        <f t="shared" si="0"/>
        <v>0.70028900844272934</v>
      </c>
      <c r="J38" s="4" t="s">
        <v>94</v>
      </c>
      <c r="K38" s="25">
        <v>0.69516541584211222</v>
      </c>
      <c r="L38" s="25">
        <v>0.48681669976375036</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84EC50-8807-4199-8CFA-C31B2C3A80E8}">
  <sheetPr>
    <tabColor theme="7" tint="0.79998168889431442"/>
  </sheetPr>
  <dimension ref="A1:J30"/>
  <sheetViews>
    <sheetView workbookViewId="0">
      <pane xSplit="1" ySplit="1" topLeftCell="B2" activePane="bottomRight" state="frozen"/>
      <selection pane="topRight" activeCell="B1" sqref="B1"/>
      <selection pane="bottomLeft" activeCell="A2" sqref="A2"/>
      <selection pane="bottomRight"/>
    </sheetView>
  </sheetViews>
  <sheetFormatPr defaultRowHeight="14.5" x14ac:dyDescent="0.35"/>
  <cols>
    <col min="1" max="1" width="13.6328125" style="55" customWidth="1"/>
    <col min="2" max="2" width="22.7265625" style="3" customWidth="1"/>
    <col min="3" max="3" width="17.81640625" style="3" customWidth="1"/>
    <col min="4" max="4" width="19" style="3" customWidth="1"/>
    <col min="5" max="5" width="15.36328125" style="3" customWidth="1"/>
    <col min="6" max="6" width="15.453125" style="3" customWidth="1"/>
    <col min="7" max="7" width="21.81640625" style="3" customWidth="1"/>
    <col min="8" max="8" width="25.54296875" style="3" hidden="1" customWidth="1"/>
    <col min="9" max="9" width="25.1796875" style="3" hidden="1" customWidth="1"/>
    <col min="10" max="10" width="22" style="3" hidden="1" customWidth="1"/>
    <col min="11" max="16384" width="8.7265625" style="3"/>
  </cols>
  <sheetData>
    <row r="1" spans="1:10" ht="40" customHeight="1" x14ac:dyDescent="0.35">
      <c r="A1" s="6" t="s">
        <v>96</v>
      </c>
      <c r="B1" s="6" t="s">
        <v>97</v>
      </c>
      <c r="C1" s="6" t="s">
        <v>98</v>
      </c>
      <c r="D1" s="6" t="s">
        <v>99</v>
      </c>
      <c r="E1" s="6" t="s">
        <v>100</v>
      </c>
      <c r="F1" s="6" t="s">
        <v>101</v>
      </c>
      <c r="G1" s="6" t="s">
        <v>102</v>
      </c>
      <c r="H1" s="22" t="s">
        <v>103</v>
      </c>
      <c r="I1" s="22" t="s">
        <v>104</v>
      </c>
      <c r="J1" s="22" t="s">
        <v>105</v>
      </c>
    </row>
    <row r="2" spans="1:10" x14ac:dyDescent="0.35">
      <c r="A2" s="4">
        <v>2005</v>
      </c>
      <c r="B2" s="23">
        <v>9762</v>
      </c>
      <c r="C2" s="4">
        <v>558</v>
      </c>
      <c r="D2" s="24">
        <v>20.1768</v>
      </c>
      <c r="E2" s="25">
        <f t="shared" ref="E2:E30" si="0">$B2/$C2/$D2</f>
        <v>0.86706631655733213</v>
      </c>
      <c r="F2" s="25" t="s">
        <v>106</v>
      </c>
      <c r="G2" s="4" t="s">
        <v>106</v>
      </c>
      <c r="H2" s="26" t="s">
        <v>106</v>
      </c>
      <c r="I2" s="26" t="s">
        <v>106</v>
      </c>
      <c r="J2" s="27" t="s">
        <v>106</v>
      </c>
    </row>
    <row r="3" spans="1:10" x14ac:dyDescent="0.35">
      <c r="A3" s="4">
        <v>2006</v>
      </c>
      <c r="B3" s="23">
        <v>10245</v>
      </c>
      <c r="C3" s="4">
        <v>558</v>
      </c>
      <c r="D3" s="24">
        <v>20.451000000000001</v>
      </c>
      <c r="E3" s="25">
        <f t="shared" si="0"/>
        <v>0.89776612653481203</v>
      </c>
      <c r="F3" s="25" t="s">
        <v>106</v>
      </c>
      <c r="G3" s="4" t="s">
        <v>106</v>
      </c>
      <c r="H3" s="26" t="s">
        <v>106</v>
      </c>
      <c r="I3" s="26" t="s">
        <v>106</v>
      </c>
      <c r="J3" s="27" t="s">
        <v>106</v>
      </c>
    </row>
    <row r="4" spans="1:10" x14ac:dyDescent="0.35">
      <c r="A4" s="4">
        <v>2007</v>
      </c>
      <c r="B4" s="23">
        <v>11342</v>
      </c>
      <c r="C4" s="4">
        <v>558</v>
      </c>
      <c r="D4" s="24">
        <v>20.827599999999997</v>
      </c>
      <c r="E4" s="25">
        <f t="shared" si="0"/>
        <v>0.97592448839770174</v>
      </c>
      <c r="F4" s="25">
        <f t="shared" ref="F4:F30" si="1">AVERAGE(E2:E4)</f>
        <v>0.91358564382994867</v>
      </c>
      <c r="G4" s="25">
        <f>F4/$F$22</f>
        <v>1.6931818851708003</v>
      </c>
      <c r="H4" s="26" t="s">
        <v>106</v>
      </c>
      <c r="I4" s="26" t="s">
        <v>106</v>
      </c>
      <c r="J4" s="26" t="s">
        <v>106</v>
      </c>
    </row>
    <row r="5" spans="1:10" x14ac:dyDescent="0.35">
      <c r="A5" s="4">
        <v>2008</v>
      </c>
      <c r="B5" s="23">
        <v>12448</v>
      </c>
      <c r="C5" s="4">
        <v>558</v>
      </c>
      <c r="D5" s="24">
        <v>21.249200000000002</v>
      </c>
      <c r="E5" s="25">
        <f t="shared" si="0"/>
        <v>1.0498392281873465</v>
      </c>
      <c r="F5" s="25">
        <f t="shared" si="1"/>
        <v>0.97450994770662014</v>
      </c>
      <c r="G5" s="25">
        <f t="shared" ref="G5:G30" si="2">F5/$F$22</f>
        <v>1.8060951389935829</v>
      </c>
      <c r="H5" s="26" t="s">
        <v>106</v>
      </c>
      <c r="I5" s="26" t="s">
        <v>106</v>
      </c>
      <c r="J5" s="26" t="s">
        <v>106</v>
      </c>
    </row>
    <row r="6" spans="1:10" x14ac:dyDescent="0.35">
      <c r="A6" s="4">
        <v>2009</v>
      </c>
      <c r="B6" s="23">
        <v>13420</v>
      </c>
      <c r="C6" s="4">
        <v>558</v>
      </c>
      <c r="D6" s="24">
        <v>21.691700000000001</v>
      </c>
      <c r="E6" s="25">
        <f t="shared" si="0"/>
        <v>1.1087272648741009</v>
      </c>
      <c r="F6" s="25">
        <f t="shared" si="1"/>
        <v>1.0448303271530497</v>
      </c>
      <c r="G6" s="25">
        <f t="shared" si="2"/>
        <v>1.9364224853580514</v>
      </c>
      <c r="H6" s="26" t="s">
        <v>106</v>
      </c>
      <c r="I6" s="26" t="s">
        <v>106</v>
      </c>
      <c r="J6" s="26" t="s">
        <v>106</v>
      </c>
    </row>
    <row r="7" spans="1:10" x14ac:dyDescent="0.35">
      <c r="A7" s="4">
        <v>2010</v>
      </c>
      <c r="B7" s="23">
        <v>14885.8</v>
      </c>
      <c r="C7" s="4">
        <v>558</v>
      </c>
      <c r="D7" s="24">
        <v>22.0318</v>
      </c>
      <c r="E7" s="25">
        <f t="shared" si="0"/>
        <v>1.2108434595402844</v>
      </c>
      <c r="F7" s="25">
        <f t="shared" si="1"/>
        <v>1.123136650867244</v>
      </c>
      <c r="G7" s="25">
        <f t="shared" si="2"/>
        <v>2.0815504760424952</v>
      </c>
      <c r="H7" s="26" t="s">
        <v>106</v>
      </c>
      <c r="I7" s="26" t="s">
        <v>106</v>
      </c>
      <c r="J7" s="26" t="s">
        <v>106</v>
      </c>
    </row>
    <row r="8" spans="1:10" x14ac:dyDescent="0.35">
      <c r="A8" s="4">
        <v>2011</v>
      </c>
      <c r="B8" s="23">
        <v>15267.4</v>
      </c>
      <c r="C8" s="4">
        <v>558</v>
      </c>
      <c r="D8" s="24">
        <v>22.34</v>
      </c>
      <c r="E8" s="25">
        <f t="shared" si="0"/>
        <v>1.2247507564745559</v>
      </c>
      <c r="F8" s="25">
        <f t="shared" si="1"/>
        <v>1.181440493629647</v>
      </c>
      <c r="G8" s="25">
        <f t="shared" si="2"/>
        <v>2.18960713287359</v>
      </c>
      <c r="H8" s="26" t="s">
        <v>106</v>
      </c>
      <c r="I8" s="26" t="s">
        <v>106</v>
      </c>
      <c r="J8" s="26" t="s">
        <v>106</v>
      </c>
    </row>
    <row r="9" spans="1:10" x14ac:dyDescent="0.35">
      <c r="A9" s="4">
        <v>2012</v>
      </c>
      <c r="B9" s="23">
        <v>15014.8</v>
      </c>
      <c r="C9" s="4">
        <v>558</v>
      </c>
      <c r="D9" s="24">
        <v>22.733499999999999</v>
      </c>
      <c r="E9" s="25">
        <f t="shared" si="0"/>
        <v>1.1836384070907939</v>
      </c>
      <c r="F9" s="25">
        <f t="shared" si="1"/>
        <v>1.2064108743685447</v>
      </c>
      <c r="G9" s="25">
        <f t="shared" si="2"/>
        <v>2.2358856581749236</v>
      </c>
      <c r="H9" s="26" t="s">
        <v>106</v>
      </c>
      <c r="I9" s="26" t="s">
        <v>106</v>
      </c>
      <c r="J9" s="26" t="s">
        <v>106</v>
      </c>
    </row>
    <row r="10" spans="1:10" x14ac:dyDescent="0.35">
      <c r="A10" s="4">
        <v>2013</v>
      </c>
      <c r="B10" s="23">
        <v>14757.2</v>
      </c>
      <c r="C10" s="4">
        <v>558</v>
      </c>
      <c r="D10" s="24">
        <v>23.1281</v>
      </c>
      <c r="E10" s="25">
        <f t="shared" si="0"/>
        <v>1.1434832512000057</v>
      </c>
      <c r="F10" s="25">
        <f t="shared" si="1"/>
        <v>1.183957471588452</v>
      </c>
      <c r="G10" s="25">
        <f t="shared" si="2"/>
        <v>2.1942719407260389</v>
      </c>
      <c r="H10" s="26" t="s">
        <v>106</v>
      </c>
      <c r="I10" s="26" t="s">
        <v>106</v>
      </c>
      <c r="J10" s="26" t="s">
        <v>106</v>
      </c>
    </row>
    <row r="11" spans="1:10" x14ac:dyDescent="0.35">
      <c r="A11" s="4">
        <v>2014</v>
      </c>
      <c r="B11" s="23">
        <v>14759.6</v>
      </c>
      <c r="C11" s="4">
        <v>558</v>
      </c>
      <c r="D11" s="24">
        <v>23.4757</v>
      </c>
      <c r="E11" s="25">
        <f t="shared" si="0"/>
        <v>1.1267351370714258</v>
      </c>
      <c r="F11" s="25">
        <f t="shared" si="1"/>
        <v>1.1512855984540751</v>
      </c>
      <c r="G11" s="25">
        <f t="shared" si="2"/>
        <v>2.1337199562248221</v>
      </c>
      <c r="H11" s="26" t="s">
        <v>106</v>
      </c>
      <c r="I11" s="26" t="s">
        <v>106</v>
      </c>
      <c r="J11" s="26" t="s">
        <v>106</v>
      </c>
    </row>
    <row r="12" spans="1:10" x14ac:dyDescent="0.35">
      <c r="A12" s="4">
        <v>2015</v>
      </c>
      <c r="B12" s="23">
        <v>15444.332</v>
      </c>
      <c r="C12" s="4">
        <v>758</v>
      </c>
      <c r="D12" s="24">
        <v>23.815999999999999</v>
      </c>
      <c r="E12" s="25">
        <f t="shared" si="0"/>
        <v>0.85552184159470646</v>
      </c>
      <c r="F12" s="25">
        <f t="shared" si="1"/>
        <v>1.0419134099553793</v>
      </c>
      <c r="G12" s="25">
        <f t="shared" si="2"/>
        <v>1.9310164554001659</v>
      </c>
      <c r="H12" s="26" t="s">
        <v>106</v>
      </c>
      <c r="I12" s="26" t="s">
        <v>106</v>
      </c>
      <c r="J12" s="26" t="s">
        <v>106</v>
      </c>
    </row>
    <row r="13" spans="1:10" x14ac:dyDescent="0.35">
      <c r="A13" s="4">
        <v>2016</v>
      </c>
      <c r="B13" s="23">
        <v>14850</v>
      </c>
      <c r="C13" s="4">
        <v>758</v>
      </c>
      <c r="D13" s="24">
        <v>24.190900000000003</v>
      </c>
      <c r="E13" s="25">
        <f t="shared" si="0"/>
        <v>0.80985118469121453</v>
      </c>
      <c r="F13" s="25">
        <f t="shared" si="1"/>
        <v>0.93070272111911556</v>
      </c>
      <c r="G13" s="25">
        <f t="shared" si="2"/>
        <v>1.7249055942601701</v>
      </c>
      <c r="H13" s="26" t="s">
        <v>106</v>
      </c>
      <c r="I13" s="26" t="s">
        <v>106</v>
      </c>
      <c r="J13" s="26" t="s">
        <v>106</v>
      </c>
    </row>
    <row r="14" spans="1:10" x14ac:dyDescent="0.35">
      <c r="A14" s="4">
        <v>2017</v>
      </c>
      <c r="B14" s="23">
        <v>14052.671701720841</v>
      </c>
      <c r="C14" s="4">
        <v>758</v>
      </c>
      <c r="D14" s="24">
        <v>24.592599999999997</v>
      </c>
      <c r="E14" s="25">
        <f t="shared" si="0"/>
        <v>0.75385053736593066</v>
      </c>
      <c r="F14" s="25">
        <f t="shared" si="1"/>
        <v>0.80640785455061714</v>
      </c>
      <c r="G14" s="25">
        <f t="shared" si="2"/>
        <v>1.4945453451528885</v>
      </c>
      <c r="H14" s="26" t="s">
        <v>106</v>
      </c>
      <c r="I14" s="26" t="s">
        <v>106</v>
      </c>
      <c r="J14" s="26" t="s">
        <v>106</v>
      </c>
    </row>
    <row r="15" spans="1:10" x14ac:dyDescent="0.35">
      <c r="A15" s="4">
        <v>2018</v>
      </c>
      <c r="B15" s="23">
        <v>13544.021988527726</v>
      </c>
      <c r="C15" s="4">
        <v>788</v>
      </c>
      <c r="D15" s="24">
        <v>24.9633</v>
      </c>
      <c r="E15" s="25">
        <f t="shared" si="0"/>
        <v>0.68852456057918021</v>
      </c>
      <c r="F15" s="25">
        <f t="shared" si="1"/>
        <v>0.75074209421210847</v>
      </c>
      <c r="G15" s="25">
        <f t="shared" si="2"/>
        <v>1.3913779435349118</v>
      </c>
      <c r="H15" s="26" t="s">
        <v>106</v>
      </c>
      <c r="I15" s="26" t="s">
        <v>106</v>
      </c>
      <c r="J15" s="26" t="s">
        <v>106</v>
      </c>
    </row>
    <row r="16" spans="1:10" x14ac:dyDescent="0.35">
      <c r="A16" s="4">
        <v>2019</v>
      </c>
      <c r="B16" s="23">
        <v>13312</v>
      </c>
      <c r="C16" s="4">
        <v>788</v>
      </c>
      <c r="D16" s="24">
        <v>25.334799999999998</v>
      </c>
      <c r="E16" s="25">
        <f t="shared" si="0"/>
        <v>0.66680617234903883</v>
      </c>
      <c r="F16" s="25">
        <f t="shared" si="1"/>
        <v>0.7030604234313832</v>
      </c>
      <c r="G16" s="25">
        <f t="shared" si="2"/>
        <v>1.3030077488346661</v>
      </c>
      <c r="H16" s="26" t="s">
        <v>106</v>
      </c>
      <c r="I16" s="26" t="s">
        <v>106</v>
      </c>
      <c r="J16" s="26" t="s">
        <v>106</v>
      </c>
    </row>
    <row r="17" spans="1:10" x14ac:dyDescent="0.35">
      <c r="A17" s="4">
        <v>2020</v>
      </c>
      <c r="B17" s="23">
        <v>12586</v>
      </c>
      <c r="C17" s="4">
        <v>913</v>
      </c>
      <c r="D17" s="24">
        <v>25.6492</v>
      </c>
      <c r="E17" s="25">
        <f t="shared" si="0"/>
        <v>0.53745626025857784</v>
      </c>
      <c r="F17" s="25">
        <f t="shared" si="1"/>
        <v>0.63092899772893229</v>
      </c>
      <c r="G17" s="25">
        <f t="shared" si="2"/>
        <v>1.1693239238142432</v>
      </c>
      <c r="H17" s="26" t="s">
        <v>106</v>
      </c>
      <c r="I17" s="26" t="s">
        <v>106</v>
      </c>
      <c r="J17" s="26" t="s">
        <v>106</v>
      </c>
    </row>
    <row r="18" spans="1:10" x14ac:dyDescent="0.35">
      <c r="A18" s="4">
        <v>2021</v>
      </c>
      <c r="B18" s="23">
        <v>12162</v>
      </c>
      <c r="C18" s="4">
        <v>913</v>
      </c>
      <c r="D18" s="24">
        <v>25.685400000000001</v>
      </c>
      <c r="E18" s="25">
        <f t="shared" si="0"/>
        <v>0.5186183607734981</v>
      </c>
      <c r="F18" s="25">
        <f t="shared" si="1"/>
        <v>0.57429359779370504</v>
      </c>
      <c r="G18" s="25">
        <f t="shared" si="2"/>
        <v>1.0643594534579426</v>
      </c>
      <c r="H18" s="26" t="s">
        <v>106</v>
      </c>
      <c r="I18" s="26" t="s">
        <v>106</v>
      </c>
      <c r="J18" s="26" t="s">
        <v>106</v>
      </c>
    </row>
    <row r="19" spans="1:10" x14ac:dyDescent="0.35">
      <c r="A19" s="4">
        <v>2022</v>
      </c>
      <c r="B19" s="23">
        <v>12877</v>
      </c>
      <c r="C19" s="4">
        <v>913</v>
      </c>
      <c r="D19" s="24">
        <v>26.014400000000002</v>
      </c>
      <c r="E19" s="25">
        <f t="shared" si="0"/>
        <v>0.54216328548542692</v>
      </c>
      <c r="F19" s="25">
        <f t="shared" si="1"/>
        <v>0.53274596883916769</v>
      </c>
      <c r="G19" s="25">
        <f t="shared" si="2"/>
        <v>0.98735770414989998</v>
      </c>
      <c r="H19" s="26" t="s">
        <v>106</v>
      </c>
      <c r="I19" s="26" t="s">
        <v>106</v>
      </c>
      <c r="J19" s="26" t="s">
        <v>106</v>
      </c>
    </row>
    <row r="20" spans="1:10" x14ac:dyDescent="0.35">
      <c r="A20" s="4">
        <v>2023</v>
      </c>
      <c r="B20" s="23">
        <v>13737</v>
      </c>
      <c r="C20" s="4">
        <v>913</v>
      </c>
      <c r="D20" s="24">
        <v>26.652799999999999</v>
      </c>
      <c r="E20" s="25">
        <f t="shared" si="0"/>
        <v>0.56451863183532325</v>
      </c>
      <c r="F20" s="25">
        <f t="shared" si="1"/>
        <v>0.54176675936474938</v>
      </c>
      <c r="G20" s="25">
        <f t="shared" si="2"/>
        <v>1.0040762671122119</v>
      </c>
      <c r="H20" s="26">
        <v>0.54539900468949909</v>
      </c>
      <c r="I20" s="26">
        <f t="shared" ref="I20:I30" si="3">AVERAGE(H18:H20)</f>
        <v>0.54539900468949909</v>
      </c>
      <c r="J20" s="26">
        <f t="shared" ref="J20:J30" si="4">I20/I$22</f>
        <v>1.0093680728990297</v>
      </c>
    </row>
    <row r="21" spans="1:10" x14ac:dyDescent="0.35">
      <c r="A21" s="4">
        <v>2024</v>
      </c>
      <c r="B21" s="23">
        <v>14421.132218975225</v>
      </c>
      <c r="C21" s="4">
        <v>1013</v>
      </c>
      <c r="D21" s="24">
        <v>27.204799999999999</v>
      </c>
      <c r="E21" s="25">
        <f t="shared" si="0"/>
        <v>0.52329233792721408</v>
      </c>
      <c r="F21" s="25">
        <f t="shared" si="1"/>
        <v>0.54332475174932138</v>
      </c>
      <c r="G21" s="25">
        <f t="shared" si="2"/>
        <v>1.0069637517181789</v>
      </c>
      <c r="H21" s="26">
        <v>0.54049925796696197</v>
      </c>
      <c r="I21" s="26">
        <f t="shared" si="3"/>
        <v>0.54294913132823053</v>
      </c>
      <c r="J21" s="26">
        <f t="shared" si="4"/>
        <v>1.0048341006470669</v>
      </c>
    </row>
    <row r="22" spans="1:10" x14ac:dyDescent="0.35">
      <c r="A22" s="4">
        <v>2025</v>
      </c>
      <c r="B22" s="23">
        <v>15143.18758896733</v>
      </c>
      <c r="C22" s="4">
        <v>1033</v>
      </c>
      <c r="D22" s="24">
        <v>27.612871999999996</v>
      </c>
      <c r="E22" s="25">
        <f t="shared" si="0"/>
        <v>0.53089104653819286</v>
      </c>
      <c r="F22" s="25">
        <f t="shared" si="1"/>
        <v>0.5395673387669101</v>
      </c>
      <c r="G22" s="25">
        <f t="shared" si="2"/>
        <v>1</v>
      </c>
      <c r="H22" s="26">
        <v>0.53511299973579718</v>
      </c>
      <c r="I22" s="26">
        <f t="shared" si="3"/>
        <v>0.54033708746408615</v>
      </c>
      <c r="J22" s="26">
        <f t="shared" si="4"/>
        <v>1</v>
      </c>
    </row>
    <row r="23" spans="1:10" x14ac:dyDescent="0.35">
      <c r="A23" s="29">
        <v>2026</v>
      </c>
      <c r="B23" s="30">
        <f t="shared" ref="B23:B30" si="5">15143.1875889673</f>
        <v>15143.187588967299</v>
      </c>
      <c r="C23" s="29">
        <v>1033</v>
      </c>
      <c r="D23" s="31">
        <v>27.612871999999996</v>
      </c>
      <c r="E23" s="32">
        <f t="shared" si="0"/>
        <v>0.53089104653819175</v>
      </c>
      <c r="F23" s="32">
        <f t="shared" si="1"/>
        <v>0.52835814366786626</v>
      </c>
      <c r="G23" s="32">
        <f t="shared" si="2"/>
        <v>0.97922558632874157</v>
      </c>
      <c r="H23" s="28">
        <v>0.53511299973579718</v>
      </c>
      <c r="I23" s="28">
        <f t="shared" si="3"/>
        <v>0.53690841914618537</v>
      </c>
      <c r="J23" s="28">
        <f t="shared" si="4"/>
        <v>0.99365457526894507</v>
      </c>
    </row>
    <row r="24" spans="1:10" x14ac:dyDescent="0.35">
      <c r="A24" s="29">
        <v>2027</v>
      </c>
      <c r="B24" s="30">
        <f t="shared" si="5"/>
        <v>15143.187588967299</v>
      </c>
      <c r="C24" s="29">
        <v>1033</v>
      </c>
      <c r="D24" s="31">
        <v>27.612871999999996</v>
      </c>
      <c r="E24" s="32">
        <f t="shared" si="0"/>
        <v>0.53089104653819175</v>
      </c>
      <c r="F24" s="32">
        <f t="shared" si="1"/>
        <v>0.53089104653819208</v>
      </c>
      <c r="G24" s="32">
        <f t="shared" si="2"/>
        <v>0.98391990840560106</v>
      </c>
      <c r="H24" s="28">
        <v>0.53511299973579718</v>
      </c>
      <c r="I24" s="28">
        <f t="shared" si="3"/>
        <v>0.53511299973579718</v>
      </c>
      <c r="J24" s="28">
        <f t="shared" si="4"/>
        <v>0.99033179870586585</v>
      </c>
    </row>
    <row r="25" spans="1:10" x14ac:dyDescent="0.35">
      <c r="A25" s="29">
        <v>2028</v>
      </c>
      <c r="B25" s="30">
        <f t="shared" si="5"/>
        <v>15143.187588967299</v>
      </c>
      <c r="C25" s="29">
        <v>1033</v>
      </c>
      <c r="D25" s="31">
        <v>27.612871999999996</v>
      </c>
      <c r="E25" s="32">
        <f t="shared" si="0"/>
        <v>0.53089104653819175</v>
      </c>
      <c r="F25" s="32">
        <f t="shared" si="1"/>
        <v>0.53089104653819175</v>
      </c>
      <c r="G25" s="32">
        <f t="shared" si="2"/>
        <v>0.9839199084056004</v>
      </c>
      <c r="H25" s="28">
        <v>0.53511299973579718</v>
      </c>
      <c r="I25" s="28">
        <f t="shared" si="3"/>
        <v>0.53511299973579718</v>
      </c>
      <c r="J25" s="28">
        <f t="shared" si="4"/>
        <v>0.99033179870586585</v>
      </c>
    </row>
    <row r="26" spans="1:10" x14ac:dyDescent="0.35">
      <c r="A26" s="29">
        <v>2029</v>
      </c>
      <c r="B26" s="30">
        <f t="shared" si="5"/>
        <v>15143.187588967299</v>
      </c>
      <c r="C26" s="29">
        <v>1033</v>
      </c>
      <c r="D26" s="31">
        <v>27.612871999999996</v>
      </c>
      <c r="E26" s="32">
        <f t="shared" si="0"/>
        <v>0.53089104653819175</v>
      </c>
      <c r="F26" s="32">
        <f t="shared" si="1"/>
        <v>0.53089104653819175</v>
      </c>
      <c r="G26" s="32">
        <f t="shared" si="2"/>
        <v>0.9839199084056004</v>
      </c>
      <c r="H26" s="28">
        <v>0.53511299973579718</v>
      </c>
      <c r="I26" s="28">
        <f t="shared" si="3"/>
        <v>0.53511299973579718</v>
      </c>
      <c r="J26" s="28">
        <f t="shared" si="4"/>
        <v>0.99033179870586585</v>
      </c>
    </row>
    <row r="27" spans="1:10" x14ac:dyDescent="0.35">
      <c r="A27" s="29">
        <v>2030</v>
      </c>
      <c r="B27" s="30">
        <f t="shared" si="5"/>
        <v>15143.187588967299</v>
      </c>
      <c r="C27" s="29">
        <v>1033</v>
      </c>
      <c r="D27" s="31">
        <v>27.612871999999996</v>
      </c>
      <c r="E27" s="32">
        <f t="shared" si="0"/>
        <v>0.53089104653819175</v>
      </c>
      <c r="F27" s="32">
        <f t="shared" si="1"/>
        <v>0.53089104653819175</v>
      </c>
      <c r="G27" s="32">
        <f t="shared" si="2"/>
        <v>0.9839199084056004</v>
      </c>
      <c r="H27" s="28">
        <v>0.53511299973579718</v>
      </c>
      <c r="I27" s="28">
        <f t="shared" si="3"/>
        <v>0.53511299973579718</v>
      </c>
      <c r="J27" s="28">
        <f t="shared" si="4"/>
        <v>0.99033179870586585</v>
      </c>
    </row>
    <row r="28" spans="1:10" x14ac:dyDescent="0.35">
      <c r="A28" s="29">
        <v>2031</v>
      </c>
      <c r="B28" s="30">
        <f t="shared" si="5"/>
        <v>15143.187588967299</v>
      </c>
      <c r="C28" s="29">
        <v>1033</v>
      </c>
      <c r="D28" s="31">
        <v>27.612871999999996</v>
      </c>
      <c r="E28" s="32">
        <f t="shared" si="0"/>
        <v>0.53089104653819175</v>
      </c>
      <c r="F28" s="32">
        <f t="shared" si="1"/>
        <v>0.53089104653819175</v>
      </c>
      <c r="G28" s="32">
        <f t="shared" si="2"/>
        <v>0.9839199084056004</v>
      </c>
      <c r="H28" s="28">
        <v>0.53511299973579718</v>
      </c>
      <c r="I28" s="28">
        <f t="shared" si="3"/>
        <v>0.53511299973579718</v>
      </c>
      <c r="J28" s="28">
        <f t="shared" si="4"/>
        <v>0.99033179870586585</v>
      </c>
    </row>
    <row r="29" spans="1:10" x14ac:dyDescent="0.35">
      <c r="A29" s="29">
        <v>2032</v>
      </c>
      <c r="B29" s="30">
        <f t="shared" si="5"/>
        <v>15143.187588967299</v>
      </c>
      <c r="C29" s="29">
        <v>1033</v>
      </c>
      <c r="D29" s="31">
        <v>27.612871999999996</v>
      </c>
      <c r="E29" s="32">
        <f t="shared" si="0"/>
        <v>0.53089104653819175</v>
      </c>
      <c r="F29" s="32">
        <f t="shared" si="1"/>
        <v>0.53089104653819175</v>
      </c>
      <c r="G29" s="32">
        <f t="shared" si="2"/>
        <v>0.9839199084056004</v>
      </c>
      <c r="H29" s="28">
        <v>0.53511299973579718</v>
      </c>
      <c r="I29" s="28">
        <f t="shared" si="3"/>
        <v>0.53511299973579718</v>
      </c>
      <c r="J29" s="28">
        <f t="shared" si="4"/>
        <v>0.99033179870586585</v>
      </c>
    </row>
    <row r="30" spans="1:10" x14ac:dyDescent="0.35">
      <c r="A30" s="29">
        <v>2033</v>
      </c>
      <c r="B30" s="30">
        <f t="shared" si="5"/>
        <v>15143.187588967299</v>
      </c>
      <c r="C30" s="29">
        <v>1033</v>
      </c>
      <c r="D30" s="31">
        <v>27.612871999999996</v>
      </c>
      <c r="E30" s="32">
        <f t="shared" si="0"/>
        <v>0.53089104653819175</v>
      </c>
      <c r="F30" s="32">
        <f t="shared" si="1"/>
        <v>0.53089104653819175</v>
      </c>
      <c r="G30" s="32">
        <f t="shared" si="2"/>
        <v>0.9839199084056004</v>
      </c>
      <c r="H30" s="28">
        <v>0.53511299973579718</v>
      </c>
      <c r="I30" s="28">
        <f t="shared" si="3"/>
        <v>0.53511299973579718</v>
      </c>
      <c r="J30" s="28">
        <f t="shared" si="4"/>
        <v>0.99033179870586585</v>
      </c>
    </row>
  </sheetData>
  <sheetProtection algorithmName="SHA-512" hashValue="YfTl9rCA5u6ZFOxXG/Phzvt5ehRnq0U82VlNbLlV02mwPVqIUoP27oPvGD6v2UTr37ixHIUjvL/X5q8GfEq9AA==" saltValue="igRziIual2VPo9vdMd+7Zg==" spinCount="100000" sheet="1" objects="1" scenarios="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1D85591-214D-402B-9B4C-E4703F72EF78}">
  <sheetPr>
    <tabColor theme="9" tint="0.79998168889431442"/>
  </sheetPr>
  <dimension ref="A1:I39"/>
  <sheetViews>
    <sheetView workbookViewId="0">
      <pane xSplit="3" ySplit="1" topLeftCell="D11" activePane="bottomRight" state="frozen"/>
      <selection pane="topRight" activeCell="D1" sqref="D1"/>
      <selection pane="bottomLeft" activeCell="A2" sqref="A2"/>
      <selection pane="bottomRight" activeCell="F17" sqref="F17"/>
    </sheetView>
  </sheetViews>
  <sheetFormatPr defaultColWidth="8.7265625" defaultRowHeight="14.5" x14ac:dyDescent="0.35"/>
  <cols>
    <col min="1" max="1" width="20.6328125" style="3" customWidth="1"/>
    <col min="2" max="2" width="20.6328125" style="4" customWidth="1"/>
    <col min="3" max="3" width="17.6328125" style="36" customWidth="1"/>
    <col min="4" max="4" width="17.36328125" style="7" customWidth="1"/>
    <col min="5" max="5" width="16.6328125" style="7" customWidth="1"/>
    <col min="6" max="6" width="14.453125" style="3" customWidth="1"/>
    <col min="7" max="7" width="14.6328125" style="3" customWidth="1"/>
    <col min="8" max="8" width="18.54296875" style="3" customWidth="1"/>
    <col min="9" max="9" width="19" style="3" customWidth="1"/>
    <col min="10" max="16384" width="8.7265625" style="3"/>
  </cols>
  <sheetData>
    <row r="1" spans="1:9" ht="40" customHeight="1" x14ac:dyDescent="0.35">
      <c r="A1" s="16" t="s">
        <v>50</v>
      </c>
      <c r="B1" s="6" t="s">
        <v>51</v>
      </c>
      <c r="C1" s="35" t="s">
        <v>88</v>
      </c>
      <c r="D1" s="56" t="s">
        <v>33</v>
      </c>
      <c r="E1" s="56" t="s">
        <v>34</v>
      </c>
      <c r="F1" s="6" t="s">
        <v>89</v>
      </c>
      <c r="G1" s="6" t="s">
        <v>90</v>
      </c>
      <c r="H1" s="6" t="s">
        <v>91</v>
      </c>
      <c r="I1" s="6" t="s">
        <v>92</v>
      </c>
    </row>
    <row r="2" spans="1:9" x14ac:dyDescent="0.35">
      <c r="A2" s="57" t="s">
        <v>62</v>
      </c>
      <c r="B2" s="4" t="s">
        <v>36</v>
      </c>
      <c r="C2" s="36">
        <v>42401</v>
      </c>
      <c r="D2" s="7">
        <v>42885</v>
      </c>
      <c r="E2" s="7">
        <v>46921</v>
      </c>
      <c r="F2" s="23">
        <f>YEARFRAC(D2,E2)</f>
        <v>11.047222222222222</v>
      </c>
      <c r="G2" s="21">
        <f>$E2-$D2+1</f>
        <v>4037</v>
      </c>
      <c r="H2" s="21">
        <v>543500000</v>
      </c>
      <c r="I2" s="19">
        <v>0.525561513402099</v>
      </c>
    </row>
    <row r="3" spans="1:9" x14ac:dyDescent="0.35">
      <c r="A3" s="57" t="s">
        <v>63</v>
      </c>
      <c r="B3" s="4" t="s">
        <v>36</v>
      </c>
      <c r="C3" s="36">
        <v>44713</v>
      </c>
      <c r="D3" s="7">
        <v>44927</v>
      </c>
      <c r="E3" s="7">
        <v>52231</v>
      </c>
      <c r="F3" s="23">
        <f t="shared" ref="F3:F38" si="0">YEARFRAC(D3,E3)</f>
        <v>20</v>
      </c>
      <c r="G3" s="21">
        <f t="shared" ref="G3:G38" si="1">$E3-$D3+1</f>
        <v>7305</v>
      </c>
      <c r="H3" s="21">
        <v>233390000</v>
      </c>
      <c r="I3" s="19">
        <v>0.13431735659482738</v>
      </c>
    </row>
    <row r="4" spans="1:9" x14ac:dyDescent="0.35">
      <c r="A4" s="57" t="s">
        <v>63</v>
      </c>
      <c r="B4" s="4" t="s">
        <v>64</v>
      </c>
      <c r="C4" s="36">
        <v>44713</v>
      </c>
      <c r="D4" s="7">
        <v>44927</v>
      </c>
      <c r="E4" s="7">
        <v>52231</v>
      </c>
      <c r="F4" s="23">
        <f t="shared" si="0"/>
        <v>20</v>
      </c>
      <c r="G4" s="21">
        <f t="shared" si="1"/>
        <v>7305</v>
      </c>
      <c r="H4" s="21">
        <v>269450000</v>
      </c>
      <c r="I4" s="19">
        <v>0.19383763086719782</v>
      </c>
    </row>
    <row r="5" spans="1:9" x14ac:dyDescent="0.35">
      <c r="A5" s="57" t="s">
        <v>65</v>
      </c>
      <c r="B5" s="4" t="s">
        <v>37</v>
      </c>
      <c r="C5" s="36">
        <v>42156</v>
      </c>
      <c r="D5" s="7">
        <v>42115</v>
      </c>
      <c r="E5" s="7">
        <v>49420</v>
      </c>
      <c r="F5" s="23">
        <f t="shared" si="0"/>
        <v>20</v>
      </c>
      <c r="G5" s="21">
        <f t="shared" si="1"/>
        <v>7306</v>
      </c>
      <c r="H5" s="21">
        <v>2109147421</v>
      </c>
      <c r="I5" s="19">
        <v>1.1814989529704416</v>
      </c>
    </row>
    <row r="6" spans="1:9" x14ac:dyDescent="0.35">
      <c r="A6" s="57" t="s">
        <v>66</v>
      </c>
      <c r="B6" s="4" t="s">
        <v>36</v>
      </c>
      <c r="C6" s="36">
        <v>44986</v>
      </c>
      <c r="D6" s="7">
        <v>45584</v>
      </c>
      <c r="E6" s="7">
        <v>51061</v>
      </c>
      <c r="F6" s="23">
        <f t="shared" si="0"/>
        <v>14.997222222222222</v>
      </c>
      <c r="G6" s="21">
        <f t="shared" si="1"/>
        <v>5478</v>
      </c>
      <c r="H6" s="21">
        <v>82270000</v>
      </c>
      <c r="I6" s="19">
        <v>0.14066854749080959</v>
      </c>
    </row>
    <row r="7" spans="1:9" x14ac:dyDescent="0.35">
      <c r="A7" s="57" t="s">
        <v>66</v>
      </c>
      <c r="B7" s="4" t="s">
        <v>64</v>
      </c>
      <c r="C7" s="36">
        <v>44986</v>
      </c>
      <c r="D7" s="7">
        <v>45584</v>
      </c>
      <c r="E7" s="7">
        <v>51061</v>
      </c>
      <c r="F7" s="23">
        <f t="shared" si="0"/>
        <v>14.997222222222222</v>
      </c>
      <c r="G7" s="21">
        <f t="shared" si="1"/>
        <v>5478</v>
      </c>
      <c r="H7" s="21">
        <v>120400000</v>
      </c>
      <c r="I7" s="19">
        <v>0.25733093955715142</v>
      </c>
    </row>
    <row r="8" spans="1:9" x14ac:dyDescent="0.35">
      <c r="A8" s="57" t="s">
        <v>67</v>
      </c>
      <c r="B8" s="4" t="s">
        <v>36</v>
      </c>
      <c r="C8" s="36">
        <v>41579</v>
      </c>
      <c r="D8" s="7">
        <v>41697</v>
      </c>
      <c r="E8" s="7">
        <v>47299</v>
      </c>
      <c r="F8" s="23">
        <f t="shared" si="0"/>
        <v>15.341666666666667</v>
      </c>
      <c r="G8" s="21">
        <f t="shared" si="1"/>
        <v>5603</v>
      </c>
      <c r="H8" s="21">
        <v>288000000</v>
      </c>
      <c r="I8" s="19">
        <v>1.5217411153144982</v>
      </c>
    </row>
    <row r="9" spans="1:9" x14ac:dyDescent="0.35">
      <c r="A9" s="57" t="s">
        <v>67</v>
      </c>
      <c r="B9" s="4" t="s">
        <v>36</v>
      </c>
      <c r="C9" s="36">
        <v>42522</v>
      </c>
      <c r="D9" s="7">
        <v>42635</v>
      </c>
      <c r="E9" s="7">
        <v>47299</v>
      </c>
      <c r="F9" s="23">
        <f t="shared" si="0"/>
        <v>12.772222222222222</v>
      </c>
      <c r="G9" s="21">
        <f t="shared" si="1"/>
        <v>4665</v>
      </c>
      <c r="H9" s="21">
        <v>1410000000</v>
      </c>
      <c r="I9" s="19">
        <v>4.2228706389839878</v>
      </c>
    </row>
    <row r="10" spans="1:9" x14ac:dyDescent="0.35">
      <c r="A10" s="57" t="s">
        <v>68</v>
      </c>
      <c r="B10" s="4" t="s">
        <v>69</v>
      </c>
      <c r="C10" s="36">
        <v>42614</v>
      </c>
      <c r="D10" s="7">
        <v>42899</v>
      </c>
      <c r="E10" s="7">
        <v>48377</v>
      </c>
      <c r="F10" s="23">
        <f t="shared" si="0"/>
        <v>14.997222222222222</v>
      </c>
      <c r="G10" s="21">
        <f t="shared" si="1"/>
        <v>5479</v>
      </c>
      <c r="H10" s="21">
        <v>1025558201</v>
      </c>
      <c r="I10" s="19">
        <v>1.3772513034127976</v>
      </c>
    </row>
    <row r="11" spans="1:9" x14ac:dyDescent="0.35">
      <c r="A11" s="57" t="s">
        <v>70</v>
      </c>
      <c r="B11" s="4" t="s">
        <v>64</v>
      </c>
      <c r="C11" s="36">
        <v>40299</v>
      </c>
      <c r="D11" s="7">
        <v>40299</v>
      </c>
      <c r="E11" s="7">
        <v>47603</v>
      </c>
      <c r="F11" s="23">
        <f t="shared" si="0"/>
        <v>19.997222222222224</v>
      </c>
      <c r="G11" s="21">
        <f t="shared" si="1"/>
        <v>7305</v>
      </c>
      <c r="H11" s="21">
        <v>822100000</v>
      </c>
      <c r="I11" s="19">
        <v>0.50974781552196169</v>
      </c>
    </row>
    <row r="12" spans="1:9" x14ac:dyDescent="0.35">
      <c r="A12" s="57" t="s">
        <v>71</v>
      </c>
      <c r="B12" s="4" t="s">
        <v>72</v>
      </c>
      <c r="C12" s="36">
        <v>42156</v>
      </c>
      <c r="D12" s="7">
        <v>42156</v>
      </c>
      <c r="E12" s="7">
        <v>48944</v>
      </c>
      <c r="F12" s="23">
        <f t="shared" si="0"/>
        <v>18.583333333333332</v>
      </c>
      <c r="G12" s="21">
        <f t="shared" si="1"/>
        <v>6789</v>
      </c>
      <c r="H12" s="21">
        <v>329554999.99999994</v>
      </c>
      <c r="I12" s="19">
        <v>0.10085955212415408</v>
      </c>
    </row>
    <row r="13" spans="1:9" x14ac:dyDescent="0.35">
      <c r="A13" s="57" t="s">
        <v>71</v>
      </c>
      <c r="B13" s="4" t="s">
        <v>69</v>
      </c>
      <c r="C13" s="36">
        <v>42156</v>
      </c>
      <c r="D13" s="7">
        <v>42736</v>
      </c>
      <c r="E13" s="7">
        <v>48944</v>
      </c>
      <c r="F13" s="23">
        <f t="shared" si="0"/>
        <v>17</v>
      </c>
      <c r="G13" s="21">
        <f t="shared" si="1"/>
        <v>6209</v>
      </c>
      <c r="H13" s="21">
        <v>2405348999.9999995</v>
      </c>
      <c r="I13" s="19">
        <v>0.29446061852168154</v>
      </c>
    </row>
    <row r="14" spans="1:9" x14ac:dyDescent="0.35">
      <c r="A14" s="57" t="s">
        <v>71</v>
      </c>
      <c r="B14" s="4" t="s">
        <v>64</v>
      </c>
      <c r="C14" s="36">
        <v>43617</v>
      </c>
      <c r="D14" s="7">
        <v>43617</v>
      </c>
      <c r="E14" s="7">
        <v>50921</v>
      </c>
      <c r="F14" s="23">
        <f t="shared" si="0"/>
        <v>20</v>
      </c>
      <c r="G14" s="21">
        <f t="shared" si="1"/>
        <v>7305</v>
      </c>
      <c r="H14" s="21">
        <v>2374122000</v>
      </c>
      <c r="I14" s="19">
        <v>0.23809927259455813</v>
      </c>
    </row>
    <row r="15" spans="1:9" x14ac:dyDescent="0.35">
      <c r="A15" s="57" t="s">
        <v>73</v>
      </c>
      <c r="B15" s="4" t="s">
        <v>37</v>
      </c>
      <c r="C15" s="36">
        <v>44166</v>
      </c>
      <c r="D15" s="7">
        <v>44166</v>
      </c>
      <c r="E15" s="7">
        <v>51470</v>
      </c>
      <c r="F15" s="23">
        <f t="shared" si="0"/>
        <v>19.997222222222224</v>
      </c>
      <c r="G15" s="21">
        <f t="shared" si="1"/>
        <v>7305</v>
      </c>
      <c r="H15" s="21">
        <v>105810000</v>
      </c>
      <c r="I15" s="19">
        <v>8.2417333334953477E-2</v>
      </c>
    </row>
    <row r="16" spans="1:9" x14ac:dyDescent="0.35">
      <c r="A16" s="57" t="s">
        <v>74</v>
      </c>
      <c r="B16" s="4" t="s">
        <v>36</v>
      </c>
      <c r="C16" s="36">
        <v>41883</v>
      </c>
      <c r="D16" s="7">
        <v>41911</v>
      </c>
      <c r="E16" s="7">
        <v>47284</v>
      </c>
      <c r="F16" s="23">
        <f t="shared" si="0"/>
        <v>14.71111111111111</v>
      </c>
      <c r="G16" s="21">
        <f t="shared" si="1"/>
        <v>5374</v>
      </c>
      <c r="H16" s="21">
        <v>35425000000</v>
      </c>
      <c r="I16" s="19">
        <v>119.68146385650196</v>
      </c>
    </row>
    <row r="17" spans="1:9" x14ac:dyDescent="0.35">
      <c r="A17" s="57" t="s">
        <v>74</v>
      </c>
      <c r="B17" s="4" t="s">
        <v>64</v>
      </c>
      <c r="C17" s="36">
        <v>43891</v>
      </c>
      <c r="D17" s="7">
        <v>43916</v>
      </c>
      <c r="E17" s="7">
        <v>49314</v>
      </c>
      <c r="F17" s="23">
        <f t="shared" si="0"/>
        <v>14.775</v>
      </c>
      <c r="G17" s="21">
        <f t="shared" si="1"/>
        <v>5399</v>
      </c>
      <c r="H17" s="21">
        <v>12840000000</v>
      </c>
      <c r="I17" s="19">
        <v>43.896765064821061</v>
      </c>
    </row>
    <row r="18" spans="1:9" x14ac:dyDescent="0.35">
      <c r="A18" s="57" t="s">
        <v>74</v>
      </c>
      <c r="B18" s="4" t="s">
        <v>36</v>
      </c>
      <c r="C18" s="36">
        <v>44197</v>
      </c>
      <c r="D18" s="7">
        <v>44660</v>
      </c>
      <c r="E18" s="7">
        <v>50139</v>
      </c>
      <c r="F18" s="23">
        <f t="shared" si="0"/>
        <v>15</v>
      </c>
      <c r="G18" s="21">
        <f t="shared" si="1"/>
        <v>5480</v>
      </c>
      <c r="H18" s="21">
        <v>76440000000</v>
      </c>
      <c r="I18" s="19">
        <v>65.603208110163138</v>
      </c>
    </row>
    <row r="19" spans="1:9" x14ac:dyDescent="0.35">
      <c r="A19" s="57" t="s">
        <v>75</v>
      </c>
      <c r="B19" s="4" t="s">
        <v>69</v>
      </c>
      <c r="C19" s="36">
        <v>40787</v>
      </c>
      <c r="D19" s="7">
        <v>40787</v>
      </c>
      <c r="E19" s="7">
        <v>46265</v>
      </c>
      <c r="F19" s="23">
        <f t="shared" si="0"/>
        <v>15</v>
      </c>
      <c r="G19" s="21">
        <f t="shared" si="1"/>
        <v>5479</v>
      </c>
      <c r="H19" s="21">
        <v>477000000</v>
      </c>
      <c r="I19" s="19">
        <v>0.26776940958141932</v>
      </c>
    </row>
    <row r="20" spans="1:9" x14ac:dyDescent="0.35">
      <c r="A20" s="57" t="s">
        <v>75</v>
      </c>
      <c r="B20" s="4" t="s">
        <v>72</v>
      </c>
      <c r="C20" s="36">
        <v>42248</v>
      </c>
      <c r="D20" s="7">
        <v>42248</v>
      </c>
      <c r="E20" s="7">
        <v>49552</v>
      </c>
      <c r="F20" s="23">
        <f t="shared" si="0"/>
        <v>20</v>
      </c>
      <c r="G20" s="21">
        <f t="shared" si="1"/>
        <v>7305</v>
      </c>
      <c r="H20" s="21">
        <v>462300000</v>
      </c>
      <c r="I20" s="19">
        <v>0.19030774314002127</v>
      </c>
    </row>
    <row r="21" spans="1:9" x14ac:dyDescent="0.35">
      <c r="A21" s="57" t="s">
        <v>76</v>
      </c>
      <c r="B21" s="4" t="s">
        <v>37</v>
      </c>
      <c r="C21" s="36">
        <v>41244</v>
      </c>
      <c r="D21" s="7">
        <v>43739</v>
      </c>
      <c r="E21" s="7">
        <v>48579</v>
      </c>
      <c r="F21" s="23">
        <f t="shared" si="0"/>
        <v>13.25</v>
      </c>
      <c r="G21" s="21">
        <f t="shared" si="1"/>
        <v>4841</v>
      </c>
      <c r="H21" s="21">
        <v>45000000</v>
      </c>
      <c r="I21" s="19">
        <v>9.9627135482742282E-2</v>
      </c>
    </row>
    <row r="22" spans="1:9" x14ac:dyDescent="0.35">
      <c r="A22" s="57" t="s">
        <v>76</v>
      </c>
      <c r="B22" s="4" t="s">
        <v>69</v>
      </c>
      <c r="C22" s="36">
        <v>42339</v>
      </c>
      <c r="D22" s="7">
        <v>42401</v>
      </c>
      <c r="E22" s="7">
        <v>48944</v>
      </c>
      <c r="F22" s="23">
        <f t="shared" si="0"/>
        <v>17.916666666666668</v>
      </c>
      <c r="G22" s="21">
        <f t="shared" si="1"/>
        <v>6544</v>
      </c>
      <c r="H22" s="21">
        <v>877983276</v>
      </c>
      <c r="I22" s="19">
        <v>5.6404559451120502</v>
      </c>
    </row>
    <row r="23" spans="1:9" x14ac:dyDescent="0.35">
      <c r="A23" s="57" t="s">
        <v>77</v>
      </c>
      <c r="B23" s="4" t="s">
        <v>69</v>
      </c>
      <c r="C23" s="36">
        <v>41183</v>
      </c>
      <c r="D23" s="7">
        <v>41275</v>
      </c>
      <c r="E23" s="7">
        <v>46752</v>
      </c>
      <c r="F23" s="23">
        <f t="shared" si="0"/>
        <v>15</v>
      </c>
      <c r="G23" s="21">
        <f t="shared" si="1"/>
        <v>5478</v>
      </c>
      <c r="H23" s="21">
        <v>228500000</v>
      </c>
      <c r="I23" s="19">
        <v>0.12006358693670342</v>
      </c>
    </row>
    <row r="24" spans="1:9" x14ac:dyDescent="0.35">
      <c r="A24" s="57" t="s">
        <v>78</v>
      </c>
      <c r="B24" s="4" t="s">
        <v>36</v>
      </c>
      <c r="C24" s="36">
        <v>44470</v>
      </c>
      <c r="D24" s="7">
        <v>44530</v>
      </c>
      <c r="E24" s="7">
        <v>51835</v>
      </c>
      <c r="F24" s="23">
        <f t="shared" si="0"/>
        <v>20</v>
      </c>
      <c r="G24" s="21">
        <f t="shared" si="1"/>
        <v>7306</v>
      </c>
      <c r="H24" s="21">
        <v>54350000</v>
      </c>
      <c r="I24" s="19">
        <v>0.17484039902471549</v>
      </c>
    </row>
    <row r="25" spans="1:9" x14ac:dyDescent="0.35">
      <c r="A25" s="57" t="s">
        <v>78</v>
      </c>
      <c r="B25" s="4" t="s">
        <v>64</v>
      </c>
      <c r="C25" s="36">
        <v>44470</v>
      </c>
      <c r="D25" s="7">
        <v>44526</v>
      </c>
      <c r="E25" s="7">
        <v>51831</v>
      </c>
      <c r="F25" s="23">
        <f t="shared" si="0"/>
        <v>20</v>
      </c>
      <c r="G25" s="21">
        <f t="shared" si="1"/>
        <v>7306</v>
      </c>
      <c r="H25" s="21">
        <v>10620000</v>
      </c>
      <c r="I25" s="19">
        <v>0.10249153841632816</v>
      </c>
    </row>
    <row r="26" spans="1:9" x14ac:dyDescent="0.35">
      <c r="A26" s="57" t="s">
        <v>79</v>
      </c>
      <c r="B26" s="4" t="s">
        <v>72</v>
      </c>
      <c r="C26" s="36">
        <v>44287</v>
      </c>
      <c r="D26" s="7">
        <v>44362</v>
      </c>
      <c r="E26" s="7">
        <v>49841</v>
      </c>
      <c r="F26" s="23">
        <f t="shared" si="0"/>
        <v>15</v>
      </c>
      <c r="G26" s="21">
        <f t="shared" si="1"/>
        <v>5480</v>
      </c>
      <c r="H26" s="21">
        <v>2808101</v>
      </c>
      <c r="I26" s="19">
        <v>1.6713852237718617E-2</v>
      </c>
    </row>
    <row r="27" spans="1:9" x14ac:dyDescent="0.35">
      <c r="A27" s="57" t="s">
        <v>79</v>
      </c>
      <c r="B27" s="4" t="s">
        <v>64</v>
      </c>
      <c r="C27" s="36">
        <v>44287</v>
      </c>
      <c r="D27" s="7">
        <v>44461</v>
      </c>
      <c r="E27" s="7">
        <v>49940</v>
      </c>
      <c r="F27" s="23">
        <f t="shared" si="0"/>
        <v>15</v>
      </c>
      <c r="G27" s="21">
        <f t="shared" si="1"/>
        <v>5480</v>
      </c>
      <c r="H27" s="21">
        <v>71778201</v>
      </c>
      <c r="I27" s="19">
        <v>0.2848164994547957</v>
      </c>
    </row>
    <row r="28" spans="1:9" x14ac:dyDescent="0.35">
      <c r="A28" s="57" t="s">
        <v>80</v>
      </c>
      <c r="B28" s="4" t="s">
        <v>69</v>
      </c>
      <c r="C28" s="36">
        <v>40664</v>
      </c>
      <c r="D28" s="7">
        <v>40709</v>
      </c>
      <c r="E28" s="7">
        <v>48213</v>
      </c>
      <c r="F28" s="23">
        <f t="shared" si="0"/>
        <v>20.544444444444444</v>
      </c>
      <c r="G28" s="21">
        <f t="shared" si="1"/>
        <v>7505</v>
      </c>
      <c r="H28" s="21">
        <v>42000000</v>
      </c>
      <c r="I28" s="19">
        <v>2.9951202858491455E-2</v>
      </c>
    </row>
    <row r="29" spans="1:9" x14ac:dyDescent="0.35">
      <c r="A29" s="57" t="s">
        <v>81</v>
      </c>
      <c r="B29" s="4" t="s">
        <v>69</v>
      </c>
      <c r="C29" s="36">
        <v>40817</v>
      </c>
      <c r="D29" s="7">
        <v>41275</v>
      </c>
      <c r="E29" s="7">
        <v>50405</v>
      </c>
      <c r="F29" s="23">
        <f t="shared" si="0"/>
        <v>25</v>
      </c>
      <c r="G29" s="21">
        <f t="shared" si="1"/>
        <v>9131</v>
      </c>
      <c r="H29" s="21">
        <v>1350000000</v>
      </c>
      <c r="I29" s="19">
        <v>2.0409863007336471</v>
      </c>
    </row>
    <row r="30" spans="1:9" x14ac:dyDescent="0.35">
      <c r="A30" s="57" t="s">
        <v>81</v>
      </c>
      <c r="B30" s="4" t="s">
        <v>69</v>
      </c>
      <c r="C30" s="36">
        <v>42644</v>
      </c>
      <c r="D30" s="7">
        <v>42887</v>
      </c>
      <c r="E30" s="7">
        <v>46752</v>
      </c>
      <c r="F30" s="23">
        <f t="shared" si="0"/>
        <v>10.583333333333334</v>
      </c>
      <c r="G30" s="21">
        <f t="shared" si="1"/>
        <v>3866</v>
      </c>
      <c r="H30" s="21">
        <v>100005000</v>
      </c>
      <c r="I30" s="19">
        <v>1.0078015052778446</v>
      </c>
    </row>
    <row r="31" spans="1:9" x14ac:dyDescent="0.35">
      <c r="A31" s="3" t="s">
        <v>81</v>
      </c>
      <c r="B31" s="4" t="s">
        <v>64</v>
      </c>
      <c r="C31" s="36">
        <v>45170</v>
      </c>
      <c r="D31" s="7">
        <v>46023</v>
      </c>
      <c r="E31" s="7">
        <v>51501</v>
      </c>
      <c r="F31" s="23">
        <f t="shared" si="0"/>
        <v>15</v>
      </c>
      <c r="G31" s="21">
        <f t="shared" si="1"/>
        <v>5479</v>
      </c>
      <c r="H31" s="3">
        <v>571405368</v>
      </c>
      <c r="I31" s="19">
        <v>0.45406104601904412</v>
      </c>
    </row>
    <row r="32" spans="1:9" x14ac:dyDescent="0.35">
      <c r="A32" s="3" t="s">
        <v>82</v>
      </c>
      <c r="B32" s="4" t="s">
        <v>83</v>
      </c>
      <c r="C32" s="36">
        <v>41671</v>
      </c>
      <c r="D32" s="7">
        <v>41718</v>
      </c>
      <c r="E32" s="7">
        <v>45370</v>
      </c>
      <c r="F32" s="23">
        <f t="shared" si="0"/>
        <v>9.9972222222222218</v>
      </c>
      <c r="G32" s="21">
        <f t="shared" si="1"/>
        <v>3653</v>
      </c>
      <c r="H32" s="48">
        <v>1564000000</v>
      </c>
      <c r="I32" s="19">
        <v>0.49122712175245437</v>
      </c>
    </row>
    <row r="33" spans="1:9" x14ac:dyDescent="0.35">
      <c r="A33" s="3" t="s">
        <v>82</v>
      </c>
      <c r="B33" s="4" t="s">
        <v>84</v>
      </c>
      <c r="C33" s="36">
        <v>42005</v>
      </c>
      <c r="D33" s="7">
        <v>42054</v>
      </c>
      <c r="E33" s="7">
        <v>45706</v>
      </c>
      <c r="F33" s="23">
        <f t="shared" si="0"/>
        <v>9.9972222222222218</v>
      </c>
      <c r="G33" s="21">
        <f t="shared" si="1"/>
        <v>3653</v>
      </c>
      <c r="H33" s="48">
        <v>41329673325</v>
      </c>
      <c r="I33" s="19">
        <v>1.9824257077959424</v>
      </c>
    </row>
    <row r="34" spans="1:9" x14ac:dyDescent="0.35">
      <c r="A34" s="3" t="s">
        <v>85</v>
      </c>
      <c r="B34" s="4" t="s">
        <v>86</v>
      </c>
      <c r="C34" s="36">
        <v>41334</v>
      </c>
      <c r="D34" s="7">
        <v>41375</v>
      </c>
      <c r="E34" s="7">
        <v>48679</v>
      </c>
      <c r="F34" s="23">
        <f t="shared" si="0"/>
        <v>19.997222222222224</v>
      </c>
      <c r="G34" s="21">
        <f t="shared" si="1"/>
        <v>7305</v>
      </c>
      <c r="H34" s="48">
        <v>45600000</v>
      </c>
      <c r="I34" s="19">
        <v>0.22718189527691829</v>
      </c>
    </row>
    <row r="35" spans="1:9" x14ac:dyDescent="0.35">
      <c r="A35" s="3" t="s">
        <v>85</v>
      </c>
      <c r="B35" s="4" t="s">
        <v>87</v>
      </c>
      <c r="C35" s="36">
        <v>41334</v>
      </c>
      <c r="D35" s="7">
        <v>43903</v>
      </c>
      <c r="E35" s="7">
        <v>48679</v>
      </c>
      <c r="F35" s="23">
        <f t="shared" si="0"/>
        <v>13.074999999999999</v>
      </c>
      <c r="G35" s="21">
        <f t="shared" si="1"/>
        <v>4777</v>
      </c>
      <c r="H35" s="48">
        <v>47100000</v>
      </c>
      <c r="I35" s="19">
        <v>0.23465498393734324</v>
      </c>
    </row>
    <row r="36" spans="1:9" x14ac:dyDescent="0.35">
      <c r="A36" s="3" t="s">
        <v>85</v>
      </c>
      <c r="B36" s="4" t="s">
        <v>86</v>
      </c>
      <c r="C36" s="36">
        <v>42979</v>
      </c>
      <c r="D36" s="7">
        <v>43007</v>
      </c>
      <c r="E36" s="7">
        <v>50311</v>
      </c>
      <c r="F36" s="23">
        <f t="shared" si="0"/>
        <v>19.997222222222224</v>
      </c>
      <c r="G36" s="21">
        <f t="shared" si="1"/>
        <v>7305</v>
      </c>
      <c r="H36" s="48">
        <v>15000000</v>
      </c>
      <c r="I36" s="19">
        <v>0.29512123285124298</v>
      </c>
    </row>
    <row r="37" spans="1:9" x14ac:dyDescent="0.35">
      <c r="A37" s="3" t="s">
        <v>85</v>
      </c>
      <c r="B37" s="4" t="s">
        <v>64</v>
      </c>
      <c r="C37" s="36">
        <v>42979</v>
      </c>
      <c r="D37" s="7">
        <v>43007</v>
      </c>
      <c r="E37" s="7">
        <v>50311</v>
      </c>
      <c r="F37" s="23">
        <f t="shared" si="0"/>
        <v>19.997222222222224</v>
      </c>
      <c r="G37" s="21">
        <f t="shared" si="1"/>
        <v>7305</v>
      </c>
      <c r="H37" s="48">
        <v>4500000</v>
      </c>
      <c r="I37" s="19">
        <v>6.6402277391529665E-2</v>
      </c>
    </row>
    <row r="38" spans="1:9" x14ac:dyDescent="0.35">
      <c r="A38" s="3" t="s">
        <v>85</v>
      </c>
      <c r="B38" s="4" t="s">
        <v>86</v>
      </c>
      <c r="C38" s="36">
        <v>43770</v>
      </c>
      <c r="D38" s="7">
        <v>43812</v>
      </c>
      <c r="E38" s="7">
        <v>53033</v>
      </c>
      <c r="F38" s="23">
        <f t="shared" si="0"/>
        <v>25.247222222222224</v>
      </c>
      <c r="G38" s="21">
        <f t="shared" si="1"/>
        <v>9222</v>
      </c>
      <c r="H38" s="48">
        <v>15000000</v>
      </c>
      <c r="I38" s="19">
        <v>0.22076965600555279</v>
      </c>
    </row>
    <row r="39" spans="1:9" x14ac:dyDescent="0.35">
      <c r="F39" s="58"/>
      <c r="G39" s="58"/>
      <c r="H39" s="58"/>
      <c r="I39" s="19"/>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C1CD31-82A0-44C2-9DA5-F78B9967C67B}">
  <sheetPr>
    <tabColor theme="9" tint="0.79998168889431442"/>
  </sheetPr>
  <dimension ref="A1:G38"/>
  <sheetViews>
    <sheetView workbookViewId="0">
      <pane xSplit="3" ySplit="1" topLeftCell="D2" activePane="bottomRight" state="frozen"/>
      <selection pane="topRight" activeCell="D1" sqref="D1"/>
      <selection pane="bottomLeft" activeCell="A2" sqref="A2"/>
      <selection pane="bottomRight"/>
    </sheetView>
  </sheetViews>
  <sheetFormatPr defaultRowHeight="14.5" x14ac:dyDescent="0.35"/>
  <cols>
    <col min="1" max="2" width="20.6328125" style="3" customWidth="1"/>
    <col min="3" max="3" width="17.6328125" style="18" customWidth="1"/>
    <col min="4" max="4" width="13.81640625" style="3" customWidth="1"/>
    <col min="5" max="5" width="16.36328125" style="3" customWidth="1"/>
    <col min="6" max="6" width="18.453125" style="3" customWidth="1"/>
    <col min="7" max="7" width="17.36328125" style="3" customWidth="1"/>
    <col min="8" max="16384" width="8.7265625" style="3"/>
  </cols>
  <sheetData>
    <row r="1" spans="1:7" ht="40" customHeight="1" x14ac:dyDescent="0.35">
      <c r="A1" s="33" t="s">
        <v>50</v>
      </c>
      <c r="B1" s="6" t="s">
        <v>51</v>
      </c>
      <c r="C1" s="34" t="s">
        <v>52</v>
      </c>
      <c r="D1" s="6" t="s">
        <v>96</v>
      </c>
      <c r="E1" s="6" t="s">
        <v>90</v>
      </c>
      <c r="F1" s="6" t="s">
        <v>92</v>
      </c>
      <c r="G1" s="6" t="s">
        <v>107</v>
      </c>
    </row>
    <row r="2" spans="1:7" x14ac:dyDescent="0.35">
      <c r="A2" s="3" t="s">
        <v>62</v>
      </c>
      <c r="B2" s="4" t="s">
        <v>36</v>
      </c>
      <c r="C2" s="18">
        <v>42401</v>
      </c>
      <c r="D2" s="3">
        <f>IF(MONTH(C2)&lt;7,YEAR(C2),YEAR(C2)+1)</f>
        <v>2016</v>
      </c>
      <c r="E2" s="21">
        <v>4037</v>
      </c>
      <c r="F2" s="19">
        <v>0.525561513402099</v>
      </c>
      <c r="G2" s="19">
        <f>($F2)*((1-(1/(1+discount_rate!$C$3))^365)/(1-(1/(1+discount_rate!$C$3))^($E2)))</f>
        <v>6.924558090943822E-2</v>
      </c>
    </row>
    <row r="3" spans="1:7" x14ac:dyDescent="0.35">
      <c r="A3" s="3" t="s">
        <v>63</v>
      </c>
      <c r="B3" s="4" t="s">
        <v>36</v>
      </c>
      <c r="C3" s="18">
        <v>44713</v>
      </c>
      <c r="D3" s="3">
        <f t="shared" ref="D3:D38" si="0">IF(MONTH(C3)&lt;7,YEAR(C3),YEAR(C3)+1)</f>
        <v>2022</v>
      </c>
      <c r="E3" s="21">
        <v>7305</v>
      </c>
      <c r="F3" s="19">
        <v>0.13431735659482738</v>
      </c>
      <c r="G3" s="19">
        <f>($F3)*((1-(1/(1+discount_rate!$C$3))^365)/(1-(1/(1+discount_rate!$C$3))^($E3)))</f>
        <v>1.3069643282102104E-2</v>
      </c>
    </row>
    <row r="4" spans="1:7" x14ac:dyDescent="0.35">
      <c r="A4" s="3" t="s">
        <v>63</v>
      </c>
      <c r="B4" s="4" t="s">
        <v>64</v>
      </c>
      <c r="C4" s="18">
        <v>44713</v>
      </c>
      <c r="D4" s="3">
        <f t="shared" si="0"/>
        <v>2022</v>
      </c>
      <c r="E4" s="21">
        <v>7305</v>
      </c>
      <c r="F4" s="19">
        <v>0.19383763086719782</v>
      </c>
      <c r="G4" s="19">
        <f>($F4)*((1-(1/(1+discount_rate!$C$3))^365)/(1-(1/(1+discount_rate!$C$3))^($E4)))</f>
        <v>1.8861216110171882E-2</v>
      </c>
    </row>
    <row r="5" spans="1:7" x14ac:dyDescent="0.35">
      <c r="A5" s="3" t="s">
        <v>65</v>
      </c>
      <c r="B5" s="4" t="s">
        <v>37</v>
      </c>
      <c r="C5" s="18">
        <v>42156</v>
      </c>
      <c r="D5" s="3">
        <f t="shared" si="0"/>
        <v>2015</v>
      </c>
      <c r="E5" s="21">
        <v>7306</v>
      </c>
      <c r="F5" s="19">
        <v>1.1814989529704416</v>
      </c>
      <c r="G5" s="19">
        <f>($F5)*((1-(1/(1+discount_rate!$C$3))^365)/(1-(1/(1+discount_rate!$C$3))^($E5)))</f>
        <v>0.11495856715605518</v>
      </c>
    </row>
    <row r="6" spans="1:7" x14ac:dyDescent="0.35">
      <c r="A6" s="3" t="s">
        <v>66</v>
      </c>
      <c r="B6" s="4" t="s">
        <v>36</v>
      </c>
      <c r="C6" s="18">
        <v>44986</v>
      </c>
      <c r="D6" s="3">
        <f t="shared" si="0"/>
        <v>2023</v>
      </c>
      <c r="E6" s="21">
        <v>5478</v>
      </c>
      <c r="F6" s="19">
        <v>0.14066854749080959</v>
      </c>
      <c r="G6" s="19">
        <f>($F6)*((1-(1/(1+discount_rate!$C$3))^365)/(1-(1/(1+discount_rate!$C$3))^($E6)))</f>
        <v>1.5600029075339998E-2</v>
      </c>
    </row>
    <row r="7" spans="1:7" x14ac:dyDescent="0.35">
      <c r="A7" s="3" t="s">
        <v>66</v>
      </c>
      <c r="B7" s="4" t="s">
        <v>64</v>
      </c>
      <c r="C7" s="18">
        <v>44986</v>
      </c>
      <c r="D7" s="3">
        <f t="shared" si="0"/>
        <v>2023</v>
      </c>
      <c r="E7" s="21">
        <v>5478</v>
      </c>
      <c r="F7" s="19">
        <v>0.25733093955715142</v>
      </c>
      <c r="G7" s="19">
        <f>($F7)*((1-(1/(1+discount_rate!$C$3))^365)/(1-(1/(1+discount_rate!$C$3))^($E7)))</f>
        <v>2.8537794771346423E-2</v>
      </c>
    </row>
    <row r="8" spans="1:7" x14ac:dyDescent="0.35">
      <c r="A8" s="3" t="s">
        <v>67</v>
      </c>
      <c r="B8" s="4" t="s">
        <v>36</v>
      </c>
      <c r="C8" s="18">
        <v>41579</v>
      </c>
      <c r="D8" s="3">
        <f t="shared" si="0"/>
        <v>2014</v>
      </c>
      <c r="E8" s="21">
        <v>5603</v>
      </c>
      <c r="F8" s="19">
        <v>1.5217411153144982</v>
      </c>
      <c r="G8" s="19">
        <f>($F8)*((1-(1/(1+discount_rate!$C$3))^365)/(1-(1/(1+discount_rate!$C$3))^($E8)))</f>
        <v>0.16684451134165096</v>
      </c>
    </row>
    <row r="9" spans="1:7" x14ac:dyDescent="0.35">
      <c r="A9" s="3" t="s">
        <v>67</v>
      </c>
      <c r="B9" s="4" t="s">
        <v>36</v>
      </c>
      <c r="C9" s="18">
        <v>42522</v>
      </c>
      <c r="D9" s="3">
        <f t="shared" si="0"/>
        <v>2016</v>
      </c>
      <c r="E9" s="21">
        <v>4665</v>
      </c>
      <c r="F9" s="19">
        <v>4.2228706389839878</v>
      </c>
      <c r="G9" s="19">
        <f>($F9)*((1-(1/(1+discount_rate!$C$3))^365)/(1-(1/(1+discount_rate!$C$3))^($E9)))</f>
        <v>0.51071134354694225</v>
      </c>
    </row>
    <row r="10" spans="1:7" x14ac:dyDescent="0.35">
      <c r="A10" s="3" t="s">
        <v>68</v>
      </c>
      <c r="B10" s="4" t="s">
        <v>69</v>
      </c>
      <c r="C10" s="18">
        <v>42614</v>
      </c>
      <c r="D10" s="3">
        <f t="shared" si="0"/>
        <v>2017</v>
      </c>
      <c r="E10" s="21">
        <v>5479</v>
      </c>
      <c r="F10" s="19">
        <v>1.3772513034127976</v>
      </c>
      <c r="G10" s="19">
        <f>($F10)*((1-(1/(1+discount_rate!$C$3))^365)/(1-(1/(1+discount_rate!$C$3))^($E10)))</f>
        <v>0.15272184386806492</v>
      </c>
    </row>
    <row r="11" spans="1:7" x14ac:dyDescent="0.35">
      <c r="A11" s="3" t="s">
        <v>70</v>
      </c>
      <c r="B11" s="4" t="s">
        <v>64</v>
      </c>
      <c r="C11" s="18">
        <v>40299</v>
      </c>
      <c r="D11" s="3">
        <f t="shared" si="0"/>
        <v>2010</v>
      </c>
      <c r="E11" s="21">
        <v>7305</v>
      </c>
      <c r="F11" s="19">
        <v>0.50974781552196169</v>
      </c>
      <c r="G11" s="19">
        <f>($F11)*((1-(1/(1+discount_rate!$C$3))^365)/(1-(1/(1+discount_rate!$C$3))^($E11)))</f>
        <v>4.9600604728989986E-2</v>
      </c>
    </row>
    <row r="12" spans="1:7" x14ac:dyDescent="0.35">
      <c r="A12" s="3" t="s">
        <v>71</v>
      </c>
      <c r="B12" s="4" t="s">
        <v>72</v>
      </c>
      <c r="C12" s="18">
        <v>42156</v>
      </c>
      <c r="D12" s="3">
        <f t="shared" si="0"/>
        <v>2015</v>
      </c>
      <c r="E12" s="21">
        <v>6789</v>
      </c>
      <c r="F12" s="19">
        <v>0.10085955212415408</v>
      </c>
      <c r="G12" s="19">
        <f>($F12)*((1-(1/(1+discount_rate!$C$3))^365)/(1-(1/(1+discount_rate!$C$3))^($E12)))</f>
        <v>1.0114659517152872E-2</v>
      </c>
    </row>
    <row r="13" spans="1:7" x14ac:dyDescent="0.35">
      <c r="A13" s="3" t="s">
        <v>71</v>
      </c>
      <c r="B13" s="4" t="s">
        <v>69</v>
      </c>
      <c r="C13" s="18">
        <v>42156</v>
      </c>
      <c r="D13" s="3">
        <f t="shared" si="0"/>
        <v>2015</v>
      </c>
      <c r="E13" s="21">
        <v>6209</v>
      </c>
      <c r="F13" s="19">
        <v>0.29446061852168154</v>
      </c>
      <c r="G13" s="19">
        <f>($F13)*((1-(1/(1+discount_rate!$C$3))^365)/(1-(1/(1+discount_rate!$C$3))^($E13)))</f>
        <v>3.0725548156936067E-2</v>
      </c>
    </row>
    <row r="14" spans="1:7" x14ac:dyDescent="0.35">
      <c r="A14" s="3" t="s">
        <v>71</v>
      </c>
      <c r="B14" s="4" t="s">
        <v>64</v>
      </c>
      <c r="C14" s="18">
        <v>43617</v>
      </c>
      <c r="D14" s="3">
        <f t="shared" si="0"/>
        <v>2019</v>
      </c>
      <c r="E14" s="21">
        <v>7305</v>
      </c>
      <c r="F14" s="19">
        <v>0.23809927259455813</v>
      </c>
      <c r="G14" s="19">
        <f>($F14)*((1-(1/(1+discount_rate!$C$3))^365)/(1-(1/(1+discount_rate!$C$3))^($E14)))</f>
        <v>2.3168059865307861E-2</v>
      </c>
    </row>
    <row r="15" spans="1:7" x14ac:dyDescent="0.35">
      <c r="A15" s="3" t="s">
        <v>73</v>
      </c>
      <c r="B15" s="4" t="s">
        <v>37</v>
      </c>
      <c r="C15" s="18">
        <v>44166</v>
      </c>
      <c r="D15" s="3">
        <f t="shared" si="0"/>
        <v>2021</v>
      </c>
      <c r="E15" s="21">
        <v>7305</v>
      </c>
      <c r="F15" s="19">
        <v>8.2417333334953477E-2</v>
      </c>
      <c r="G15" s="19">
        <f>($F15)*((1-(1/(1+discount_rate!$C$3))^365)/(1-(1/(1+discount_rate!$C$3))^($E15)))</f>
        <v>8.0195529026025111E-3</v>
      </c>
    </row>
    <row r="16" spans="1:7" x14ac:dyDescent="0.35">
      <c r="A16" s="3" t="s">
        <v>74</v>
      </c>
      <c r="B16" s="4" t="s">
        <v>36</v>
      </c>
      <c r="C16" s="18">
        <v>41883</v>
      </c>
      <c r="D16" s="3">
        <f t="shared" si="0"/>
        <v>2015</v>
      </c>
      <c r="E16" s="21">
        <v>5374</v>
      </c>
      <c r="F16" s="19">
        <v>119.68146385650196</v>
      </c>
      <c r="G16" s="19">
        <f>($F16)*((1-(1/(1+discount_rate!$C$3))^365)/(1-(1/(1+discount_rate!$C$3))^($E16)))</f>
        <v>13.403916322116125</v>
      </c>
    </row>
    <row r="17" spans="1:7" x14ac:dyDescent="0.35">
      <c r="A17" s="3" t="s">
        <v>74</v>
      </c>
      <c r="B17" s="4" t="s">
        <v>64</v>
      </c>
      <c r="C17" s="18">
        <v>43891</v>
      </c>
      <c r="D17" s="3">
        <f t="shared" si="0"/>
        <v>2020</v>
      </c>
      <c r="E17" s="21">
        <v>5399</v>
      </c>
      <c r="F17" s="19">
        <v>43.896765064821061</v>
      </c>
      <c r="G17" s="19">
        <f>($F17)*((1-(1/(1+discount_rate!$C$3))^365)/(1-(1/(1+discount_rate!$C$3))^($E17)))</f>
        <v>4.9045186562851999</v>
      </c>
    </row>
    <row r="18" spans="1:7" x14ac:dyDescent="0.35">
      <c r="A18" s="3" t="s">
        <v>74</v>
      </c>
      <c r="B18" s="4" t="s">
        <v>36</v>
      </c>
      <c r="C18" s="18">
        <v>44197</v>
      </c>
      <c r="D18" s="3">
        <f t="shared" si="0"/>
        <v>2021</v>
      </c>
      <c r="E18" s="21">
        <v>5480</v>
      </c>
      <c r="F18" s="19">
        <v>65.603208110163138</v>
      </c>
      <c r="G18" s="19">
        <f>($F18)*((1-(1/(1+discount_rate!$C$3))^365)/(1-(1/(1+discount_rate!$C$3))^($E18)))</f>
        <v>7.2739886526972128</v>
      </c>
    </row>
    <row r="19" spans="1:7" x14ac:dyDescent="0.35">
      <c r="A19" s="3" t="s">
        <v>75</v>
      </c>
      <c r="B19" s="4" t="s">
        <v>69</v>
      </c>
      <c r="C19" s="18">
        <v>40787</v>
      </c>
      <c r="D19" s="3">
        <f t="shared" si="0"/>
        <v>2012</v>
      </c>
      <c r="E19" s="21">
        <v>5479</v>
      </c>
      <c r="F19" s="19">
        <v>0.26776940958141932</v>
      </c>
      <c r="G19" s="19">
        <f>($F19)*((1-(1/(1+discount_rate!$C$3))^365)/(1-(1/(1+discount_rate!$C$3))^($E19)))</f>
        <v>2.9692647856932465E-2</v>
      </c>
    </row>
    <row r="20" spans="1:7" x14ac:dyDescent="0.35">
      <c r="A20" s="3" t="s">
        <v>75</v>
      </c>
      <c r="B20" s="4" t="s">
        <v>72</v>
      </c>
      <c r="C20" s="18">
        <v>42248</v>
      </c>
      <c r="D20" s="3">
        <f t="shared" si="0"/>
        <v>2016</v>
      </c>
      <c r="E20" s="21">
        <v>7305</v>
      </c>
      <c r="F20" s="19">
        <v>0.19030774314002127</v>
      </c>
      <c r="G20" s="19">
        <f>($F20)*((1-(1/(1+discount_rate!$C$3))^365)/(1-(1/(1+discount_rate!$C$3))^($E20)))</f>
        <v>1.8517743199524647E-2</v>
      </c>
    </row>
    <row r="21" spans="1:7" x14ac:dyDescent="0.35">
      <c r="A21" s="3" t="s">
        <v>76</v>
      </c>
      <c r="B21" s="4" t="s">
        <v>37</v>
      </c>
      <c r="C21" s="18">
        <v>41244</v>
      </c>
      <c r="D21" s="3">
        <f t="shared" si="0"/>
        <v>2013</v>
      </c>
      <c r="E21" s="21">
        <v>4841</v>
      </c>
      <c r="F21" s="19">
        <v>9.9627135482742282E-2</v>
      </c>
      <c r="G21" s="19">
        <f>($F21)*((1-(1/(1+discount_rate!$C$3))^365)/(1-(1/(1+discount_rate!$C$3))^($E21)))</f>
        <v>1.1800838277770077E-2</v>
      </c>
    </row>
    <row r="22" spans="1:7" x14ac:dyDescent="0.35">
      <c r="A22" s="3" t="s">
        <v>76</v>
      </c>
      <c r="B22" s="4" t="s">
        <v>69</v>
      </c>
      <c r="C22" s="18">
        <v>42339</v>
      </c>
      <c r="D22" s="3">
        <f t="shared" si="0"/>
        <v>2016</v>
      </c>
      <c r="E22" s="21">
        <v>6544</v>
      </c>
      <c r="F22" s="19">
        <v>5.6404559451120502</v>
      </c>
      <c r="G22" s="19">
        <f>($F22)*((1-(1/(1+discount_rate!$C$3))^365)/(1-(1/(1+discount_rate!$C$3))^($E22)))</f>
        <v>0.57474666324382817</v>
      </c>
    </row>
    <row r="23" spans="1:7" x14ac:dyDescent="0.35">
      <c r="A23" s="3" t="s">
        <v>77</v>
      </c>
      <c r="B23" s="4" t="s">
        <v>69</v>
      </c>
      <c r="C23" s="18">
        <v>41183</v>
      </c>
      <c r="D23" s="3">
        <f t="shared" si="0"/>
        <v>2013</v>
      </c>
      <c r="E23" s="21">
        <v>5478</v>
      </c>
      <c r="F23" s="19">
        <v>0.12006358693670342</v>
      </c>
      <c r="G23" s="19">
        <f>($F23)*((1-(1/(1+discount_rate!$C$3))^365)/(1-(1/(1+discount_rate!$C$3))^($E23)))</f>
        <v>1.3314955478761555E-2</v>
      </c>
    </row>
    <row r="24" spans="1:7" x14ac:dyDescent="0.35">
      <c r="A24" s="3" t="s">
        <v>78</v>
      </c>
      <c r="B24" s="4" t="s">
        <v>36</v>
      </c>
      <c r="C24" s="18">
        <v>44470</v>
      </c>
      <c r="D24" s="3">
        <f t="shared" si="0"/>
        <v>2022</v>
      </c>
      <c r="E24" s="21">
        <v>7306</v>
      </c>
      <c r="F24" s="19">
        <v>0.17484039902471549</v>
      </c>
      <c r="G24" s="19">
        <f>($F24)*((1-(1/(1+discount_rate!$C$3))^365)/(1-(1/(1+discount_rate!$C$3))^($E24)))</f>
        <v>1.7011781265096965E-2</v>
      </c>
    </row>
    <row r="25" spans="1:7" x14ac:dyDescent="0.35">
      <c r="A25" s="3" t="s">
        <v>78</v>
      </c>
      <c r="B25" s="4" t="s">
        <v>64</v>
      </c>
      <c r="C25" s="18">
        <v>44470</v>
      </c>
      <c r="D25" s="3">
        <f t="shared" si="0"/>
        <v>2022</v>
      </c>
      <c r="E25" s="21">
        <v>7306</v>
      </c>
      <c r="F25" s="19">
        <v>0.10249153841632816</v>
      </c>
      <c r="G25" s="19">
        <f>($F25)*((1-(1/(1+discount_rate!$C$3))^365)/(1-(1/(1+discount_rate!$C$3))^($E25)))</f>
        <v>9.9723155677274942E-3</v>
      </c>
    </row>
    <row r="26" spans="1:7" x14ac:dyDescent="0.35">
      <c r="A26" s="3" t="s">
        <v>79</v>
      </c>
      <c r="B26" s="4" t="s">
        <v>72</v>
      </c>
      <c r="C26" s="18">
        <v>44287</v>
      </c>
      <c r="D26" s="3">
        <f t="shared" si="0"/>
        <v>2021</v>
      </c>
      <c r="E26" s="21">
        <v>5480</v>
      </c>
      <c r="F26" s="19">
        <v>1.6713852237718617E-2</v>
      </c>
      <c r="G26" s="19">
        <f>($F26)*((1-(1/(1+discount_rate!$C$3))^365)/(1-(1/(1+discount_rate!$C$3))^($E26)))</f>
        <v>1.8532077168523216E-3</v>
      </c>
    </row>
    <row r="27" spans="1:7" x14ac:dyDescent="0.35">
      <c r="A27" s="3" t="s">
        <v>79</v>
      </c>
      <c r="B27" s="4" t="s">
        <v>64</v>
      </c>
      <c r="C27" s="18">
        <v>44287</v>
      </c>
      <c r="D27" s="3">
        <f t="shared" si="0"/>
        <v>2021</v>
      </c>
      <c r="E27" s="21">
        <v>5480</v>
      </c>
      <c r="F27" s="19">
        <v>0.2848164994547957</v>
      </c>
      <c r="G27" s="19">
        <f>($F27)*((1-(1/(1+discount_rate!$C$3))^365)/(1-(1/(1+discount_rate!$C$3))^($E27)))</f>
        <v>3.1580040745205165E-2</v>
      </c>
    </row>
    <row r="28" spans="1:7" x14ac:dyDescent="0.35">
      <c r="A28" s="3" t="s">
        <v>80</v>
      </c>
      <c r="B28" s="4" t="s">
        <v>69</v>
      </c>
      <c r="C28" s="18">
        <v>40664</v>
      </c>
      <c r="D28" s="3">
        <f t="shared" si="0"/>
        <v>2011</v>
      </c>
      <c r="E28" s="21">
        <v>7505</v>
      </c>
      <c r="F28" s="19">
        <v>2.9951202858491455E-2</v>
      </c>
      <c r="G28" s="19">
        <f>($F28)*((1-(1/(1+discount_rate!$C$3))^365)/(1-(1/(1+discount_rate!$C$3))^($E28)))</f>
        <v>2.8837259198072631E-3</v>
      </c>
    </row>
    <row r="29" spans="1:7" x14ac:dyDescent="0.35">
      <c r="A29" s="3" t="s">
        <v>81</v>
      </c>
      <c r="B29" s="4" t="s">
        <v>69</v>
      </c>
      <c r="C29" s="18">
        <v>40817</v>
      </c>
      <c r="D29" s="3">
        <f t="shared" si="0"/>
        <v>2012</v>
      </c>
      <c r="E29" s="21">
        <v>9131</v>
      </c>
      <c r="F29" s="19">
        <v>2.0409863007336471</v>
      </c>
      <c r="G29" s="19">
        <f>($F29)*((1-(1/(1+discount_rate!$C$3))^365)/(1-(1/(1+discount_rate!$C$3))^($E29)))</f>
        <v>0.18363198498552347</v>
      </c>
    </row>
    <row r="30" spans="1:7" x14ac:dyDescent="0.35">
      <c r="A30" s="3" t="s">
        <v>81</v>
      </c>
      <c r="B30" s="4" t="s">
        <v>69</v>
      </c>
      <c r="C30" s="18">
        <v>42644</v>
      </c>
      <c r="D30" s="3">
        <f t="shared" si="0"/>
        <v>2017</v>
      </c>
      <c r="E30" s="21">
        <v>3866</v>
      </c>
      <c r="F30" s="19">
        <v>1.0078015052778446</v>
      </c>
      <c r="G30" s="19">
        <f>($F30)*((1-(1/(1+discount_rate!$C$3))^365)/(1-(1/(1+discount_rate!$C$3))^($E30)))</f>
        <v>0.13641239771586466</v>
      </c>
    </row>
    <row r="31" spans="1:7" x14ac:dyDescent="0.35">
      <c r="A31" s="3" t="s">
        <v>81</v>
      </c>
      <c r="B31" s="4" t="s">
        <v>64</v>
      </c>
      <c r="C31" s="18">
        <v>45170</v>
      </c>
      <c r="D31" s="3">
        <f t="shared" si="0"/>
        <v>2024</v>
      </c>
      <c r="E31" s="3">
        <v>5479</v>
      </c>
      <c r="F31" s="19">
        <v>0.45406104601904412</v>
      </c>
      <c r="G31" s="19">
        <f>($F31)*((1-(1/(1+discount_rate!$C$3))^365)/(1-(1/(1+discount_rate!$C$3))^($E31)))</f>
        <v>5.0350317334864926E-2</v>
      </c>
    </row>
    <row r="32" spans="1:7" x14ac:dyDescent="0.35">
      <c r="A32" s="3" t="s">
        <v>82</v>
      </c>
      <c r="B32" s="4" t="s">
        <v>83</v>
      </c>
      <c r="C32" s="18">
        <v>41671</v>
      </c>
      <c r="D32" s="3">
        <f t="shared" si="0"/>
        <v>2014</v>
      </c>
      <c r="E32" s="3">
        <v>3653</v>
      </c>
      <c r="F32" s="19">
        <v>0.49122712175245437</v>
      </c>
      <c r="G32" s="19">
        <f>($F32)*((1-(1/(1+discount_rate!$C$3))^365)/(1-(1/(1+discount_rate!$C$3))^($E32)))</f>
        <v>6.894060746031952E-2</v>
      </c>
    </row>
    <row r="33" spans="1:7" x14ac:dyDescent="0.35">
      <c r="A33" s="3" t="s">
        <v>82</v>
      </c>
      <c r="B33" s="4" t="s">
        <v>84</v>
      </c>
      <c r="C33" s="18">
        <v>42005</v>
      </c>
      <c r="D33" s="3">
        <f t="shared" si="0"/>
        <v>2015</v>
      </c>
      <c r="E33" s="3">
        <v>3653</v>
      </c>
      <c r="F33" s="19">
        <v>1.9824257077959424</v>
      </c>
      <c r="G33" s="19">
        <f>($F33)*((1-(1/(1+discount_rate!$C$3))^365)/(1-(1/(1+discount_rate!$C$3))^($E33)))</f>
        <v>0.27822086055191086</v>
      </c>
    </row>
    <row r="34" spans="1:7" x14ac:dyDescent="0.35">
      <c r="A34" s="3" t="s">
        <v>85</v>
      </c>
      <c r="B34" s="4" t="s">
        <v>86</v>
      </c>
      <c r="C34" s="18">
        <v>41334</v>
      </c>
      <c r="D34" s="3">
        <f t="shared" si="0"/>
        <v>2013</v>
      </c>
      <c r="E34" s="3">
        <v>7305</v>
      </c>
      <c r="F34" s="19">
        <v>0.22718189527691829</v>
      </c>
      <c r="G34" s="19">
        <f>($F34)*((1-(1/(1+discount_rate!$C$3))^365)/(1-(1/(1+discount_rate!$C$3))^($E34)))</f>
        <v>2.2105753170663153E-2</v>
      </c>
    </row>
    <row r="35" spans="1:7" x14ac:dyDescent="0.35">
      <c r="A35" s="3" t="s">
        <v>85</v>
      </c>
      <c r="B35" s="4" t="s">
        <v>87</v>
      </c>
      <c r="C35" s="18">
        <v>41334</v>
      </c>
      <c r="D35" s="3">
        <f t="shared" si="0"/>
        <v>2013</v>
      </c>
      <c r="E35" s="3">
        <v>4777</v>
      </c>
      <c r="F35" s="19">
        <v>0.23465498393734324</v>
      </c>
      <c r="G35" s="19">
        <f>($F35)*((1-(1/(1+discount_rate!$C$3))^365)/(1-(1/(1+discount_rate!$C$3))^($E35)))</f>
        <v>2.8001866634090405E-2</v>
      </c>
    </row>
    <row r="36" spans="1:7" x14ac:dyDescent="0.35">
      <c r="A36" s="3" t="s">
        <v>85</v>
      </c>
      <c r="B36" s="4" t="s">
        <v>86</v>
      </c>
      <c r="C36" s="18">
        <v>42979</v>
      </c>
      <c r="D36" s="3">
        <f t="shared" si="0"/>
        <v>2018</v>
      </c>
      <c r="E36" s="3">
        <v>7305</v>
      </c>
      <c r="F36" s="19">
        <v>0.29512123285124298</v>
      </c>
      <c r="G36" s="19">
        <f>($F36)*((1-(1/(1+discount_rate!$C$3))^365)/(1-(1/(1+discount_rate!$C$3))^($E36)))</f>
        <v>2.8716536240175519E-2</v>
      </c>
    </row>
    <row r="37" spans="1:7" x14ac:dyDescent="0.35">
      <c r="A37" s="3" t="s">
        <v>85</v>
      </c>
      <c r="B37" s="4" t="s">
        <v>64</v>
      </c>
      <c r="C37" s="18">
        <v>42979</v>
      </c>
      <c r="D37" s="3">
        <f t="shared" si="0"/>
        <v>2018</v>
      </c>
      <c r="E37" s="3">
        <v>7305</v>
      </c>
      <c r="F37" s="19">
        <v>6.6402277391529665E-2</v>
      </c>
      <c r="G37" s="19">
        <f>($F37)*((1-(1/(1+discount_rate!$C$3))^365)/(1-(1/(1+discount_rate!$C$3))^($E37)))</f>
        <v>6.4612206540394911E-3</v>
      </c>
    </row>
    <row r="38" spans="1:7" x14ac:dyDescent="0.35">
      <c r="A38" s="3" t="s">
        <v>85</v>
      </c>
      <c r="B38" s="4" t="s">
        <v>86</v>
      </c>
      <c r="C38" s="18">
        <v>43770</v>
      </c>
      <c r="D38" s="3">
        <f t="shared" si="0"/>
        <v>2020</v>
      </c>
      <c r="E38" s="3">
        <v>9222</v>
      </c>
      <c r="F38" s="19">
        <v>0.22076965600555279</v>
      </c>
      <c r="G38" s="19">
        <f>($F38)*((1-(1/(1+discount_rate!$C$3))^365)/(1-(1/(1+discount_rate!$C$3))^($E38)))</f>
        <v>1.9803499775000288E-2</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22244E-5619-4C0B-BD88-2343080BD1D9}">
  <sheetPr>
    <tabColor theme="9" tint="0.79998168889431442"/>
  </sheetPr>
  <dimension ref="A1:G38"/>
  <sheetViews>
    <sheetView workbookViewId="0">
      <pane xSplit="3" ySplit="1" topLeftCell="D2" activePane="bottomRight" state="frozen"/>
      <selection pane="topRight" activeCell="D1" sqref="D1"/>
      <selection pane="bottomLeft" activeCell="A2" sqref="A2"/>
      <selection pane="bottomRight"/>
    </sheetView>
  </sheetViews>
  <sheetFormatPr defaultRowHeight="14.5" x14ac:dyDescent="0.35"/>
  <cols>
    <col min="1" max="2" width="20.6328125" style="3" customWidth="1"/>
    <col min="3" max="3" width="17.6328125" style="18" customWidth="1"/>
    <col min="4" max="4" width="13.81640625" style="3" customWidth="1"/>
    <col min="5" max="5" width="17.81640625" style="3" customWidth="1"/>
    <col min="6" max="6" width="18.453125" style="3" customWidth="1"/>
    <col min="7" max="7" width="18.7265625" style="3" customWidth="1"/>
    <col min="8" max="16384" width="8.7265625" style="3"/>
  </cols>
  <sheetData>
    <row r="1" spans="1:7" ht="40" customHeight="1" x14ac:dyDescent="0.35">
      <c r="A1" s="33" t="s">
        <v>50</v>
      </c>
      <c r="B1" s="6" t="s">
        <v>51</v>
      </c>
      <c r="C1" s="34" t="s">
        <v>52</v>
      </c>
      <c r="D1" s="6" t="s">
        <v>96</v>
      </c>
      <c r="E1" s="6" t="s">
        <v>107</v>
      </c>
      <c r="F1" s="6" t="s">
        <v>108</v>
      </c>
      <c r="G1" s="6" t="s">
        <v>109</v>
      </c>
    </row>
    <row r="2" spans="1:7" x14ac:dyDescent="0.35">
      <c r="A2" s="3" t="s">
        <v>62</v>
      </c>
      <c r="B2" s="4" t="s">
        <v>36</v>
      </c>
      <c r="C2" s="18">
        <v>42401</v>
      </c>
      <c r="D2" s="3">
        <f>IF(MONTH(C2)&lt;7,YEAR(C2),YEAR(C2)+1)</f>
        <v>2016</v>
      </c>
      <c r="E2" s="19">
        <v>6.924558090943822E-2</v>
      </c>
      <c r="F2" s="19">
        <f>$E2/exchange_rates!K2</f>
        <v>6.924558090943822E-2</v>
      </c>
      <c r="G2" s="19">
        <f>$E2/exchange_rates!L2</f>
        <v>6.924558090943822E-2</v>
      </c>
    </row>
    <row r="3" spans="1:7" x14ac:dyDescent="0.35">
      <c r="A3" s="3" t="s">
        <v>63</v>
      </c>
      <c r="B3" s="4" t="s">
        <v>36</v>
      </c>
      <c r="C3" s="18">
        <v>44713</v>
      </c>
      <c r="D3" s="3">
        <f t="shared" ref="D3:D38" si="0">IF(MONTH(C3)&lt;7,YEAR(C3),YEAR(C3)+1)</f>
        <v>2022</v>
      </c>
      <c r="E3" s="19">
        <v>1.3069643282102104E-2</v>
      </c>
      <c r="F3" s="19">
        <f>$E3/exchange_rates!K3</f>
        <v>1.9837224264509765E-2</v>
      </c>
      <c r="G3" s="19">
        <f>$E3/exchange_rates!L3</f>
        <v>2.5816215800089439E-2</v>
      </c>
    </row>
    <row r="4" spans="1:7" x14ac:dyDescent="0.35">
      <c r="A4" s="3" t="s">
        <v>63</v>
      </c>
      <c r="B4" s="4" t="s">
        <v>64</v>
      </c>
      <c r="C4" s="18">
        <v>44713</v>
      </c>
      <c r="D4" s="3">
        <f t="shared" si="0"/>
        <v>2022</v>
      </c>
      <c r="E4" s="19">
        <v>1.8861216110171882E-2</v>
      </c>
      <c r="F4" s="19">
        <f>$E4/exchange_rates!K4</f>
        <v>2.8627726541797831E-2</v>
      </c>
      <c r="G4" s="19">
        <f>$E4/exchange_rates!L4</f>
        <v>3.7256198569637196E-2</v>
      </c>
    </row>
    <row r="5" spans="1:7" x14ac:dyDescent="0.35">
      <c r="A5" s="3" t="s">
        <v>65</v>
      </c>
      <c r="B5" s="4" t="s">
        <v>37</v>
      </c>
      <c r="C5" s="18">
        <v>42156</v>
      </c>
      <c r="D5" s="3">
        <f t="shared" si="0"/>
        <v>2015</v>
      </c>
      <c r="E5" s="19">
        <v>0.11495856715605518</v>
      </c>
      <c r="F5" s="19">
        <f>$E5/exchange_rates!K5</f>
        <v>0.1196605256557918</v>
      </c>
      <c r="G5" s="19">
        <f>$E5/exchange_rates!L5</f>
        <v>0.13574335302079107</v>
      </c>
    </row>
    <row r="6" spans="1:7" x14ac:dyDescent="0.35">
      <c r="A6" s="3" t="s">
        <v>66</v>
      </c>
      <c r="B6" s="4" t="s">
        <v>36</v>
      </c>
      <c r="C6" s="18">
        <v>44986</v>
      </c>
      <c r="D6" s="3">
        <f t="shared" si="0"/>
        <v>2023</v>
      </c>
      <c r="E6" s="19">
        <v>1.5600029075339998E-2</v>
      </c>
      <c r="F6" s="19">
        <f>$E6/exchange_rates!K6</f>
        <v>2.5383455034614318E-2</v>
      </c>
      <c r="G6" s="19">
        <f>$E6/exchange_rates!L6</f>
        <v>5.0201540793367694E-2</v>
      </c>
    </row>
    <row r="7" spans="1:7" x14ac:dyDescent="0.35">
      <c r="A7" s="3" t="s">
        <v>66</v>
      </c>
      <c r="B7" s="4" t="s">
        <v>64</v>
      </c>
      <c r="C7" s="18">
        <v>44986</v>
      </c>
      <c r="D7" s="3">
        <f t="shared" si="0"/>
        <v>2023</v>
      </c>
      <c r="E7" s="19">
        <v>2.8537794771346423E-2</v>
      </c>
      <c r="F7" s="19">
        <f>$E7/exchange_rates!K7</f>
        <v>4.6435030785334334E-2</v>
      </c>
      <c r="G7" s="19">
        <f>$E7/exchange_rates!L7</f>
        <v>9.1835807577511114E-2</v>
      </c>
    </row>
    <row r="8" spans="1:7" x14ac:dyDescent="0.35">
      <c r="A8" s="3" t="s">
        <v>67</v>
      </c>
      <c r="B8" s="4" t="s">
        <v>36</v>
      </c>
      <c r="C8" s="18">
        <v>41579</v>
      </c>
      <c r="D8" s="3">
        <f t="shared" si="0"/>
        <v>2014</v>
      </c>
      <c r="E8" s="19">
        <v>0.16684451134165096</v>
      </c>
      <c r="F8" s="19">
        <f>$E8/exchange_rates!K8</f>
        <v>8.8308423066384024E-3</v>
      </c>
      <c r="G8" s="19">
        <f>$E8/exchange_rates!L8</f>
        <v>1.8884584439881169E-2</v>
      </c>
    </row>
    <row r="9" spans="1:7" x14ac:dyDescent="0.35">
      <c r="A9" s="3" t="s">
        <v>67</v>
      </c>
      <c r="B9" s="4" t="s">
        <v>36</v>
      </c>
      <c r="C9" s="18">
        <v>42522</v>
      </c>
      <c r="D9" s="3">
        <f t="shared" si="0"/>
        <v>2016</v>
      </c>
      <c r="E9" s="19">
        <v>0.51071134354694225</v>
      </c>
      <c r="F9" s="19">
        <f>$E9/exchange_rates!K9</f>
        <v>2.8110408329994032E-2</v>
      </c>
      <c r="G9" s="19">
        <f>$E9/exchange_rates!L9</f>
        <v>5.8889227107805468E-2</v>
      </c>
    </row>
    <row r="10" spans="1:7" x14ac:dyDescent="0.35">
      <c r="A10" s="3" t="s">
        <v>68</v>
      </c>
      <c r="B10" s="4" t="s">
        <v>69</v>
      </c>
      <c r="C10" s="18">
        <v>42614</v>
      </c>
      <c r="D10" s="3">
        <f t="shared" si="0"/>
        <v>2017</v>
      </c>
      <c r="E10" s="19">
        <v>0.15272184386806492</v>
      </c>
      <c r="F10" s="19">
        <f>$E10/exchange_rates!K10</f>
        <v>3.0518739935919623E-2</v>
      </c>
      <c r="G10" s="19">
        <f>$E10/exchange_rates!L10</f>
        <v>3.1281780055461235E-2</v>
      </c>
    </row>
    <row r="11" spans="1:7" x14ac:dyDescent="0.35">
      <c r="A11" s="3" t="s">
        <v>70</v>
      </c>
      <c r="B11" s="4" t="s">
        <v>64</v>
      </c>
      <c r="C11" s="18">
        <v>40299</v>
      </c>
      <c r="D11" s="3">
        <f t="shared" si="0"/>
        <v>2010</v>
      </c>
      <c r="E11" s="19">
        <v>4.9600604728989986E-2</v>
      </c>
      <c r="F11" s="19">
        <f>$E11/exchange_rates!K11</f>
        <v>7.1715238068118942E-2</v>
      </c>
      <c r="G11" s="19">
        <f>$E11/exchange_rates!L11</f>
        <v>8.7251234334469824E-2</v>
      </c>
    </row>
    <row r="12" spans="1:7" x14ac:dyDescent="0.35">
      <c r="A12" s="3" t="s">
        <v>71</v>
      </c>
      <c r="B12" s="4" t="s">
        <v>72</v>
      </c>
      <c r="C12" s="18">
        <v>42156</v>
      </c>
      <c r="D12" s="3">
        <f t="shared" si="0"/>
        <v>2015</v>
      </c>
      <c r="E12" s="19">
        <v>1.0114659517152872E-2</v>
      </c>
      <c r="F12" s="19">
        <f>$E12/exchange_rates!K12</f>
        <v>1.4932586124755679E-2</v>
      </c>
      <c r="G12" s="19">
        <f>$E12/exchange_rates!L12</f>
        <v>1.915622832729641E-2</v>
      </c>
    </row>
    <row r="13" spans="1:7" x14ac:dyDescent="0.35">
      <c r="A13" s="3" t="s">
        <v>71</v>
      </c>
      <c r="B13" s="4" t="s">
        <v>69</v>
      </c>
      <c r="C13" s="18">
        <v>42156</v>
      </c>
      <c r="D13" s="3">
        <f t="shared" si="0"/>
        <v>2015</v>
      </c>
      <c r="E13" s="19">
        <v>3.0725548156936067E-2</v>
      </c>
      <c r="F13" s="19">
        <f>$E13/exchange_rates!K13</f>
        <v>4.5361081438846568E-2</v>
      </c>
      <c r="G13" s="19">
        <f>$E13/exchange_rates!L13</f>
        <v>5.8191342474500501E-2</v>
      </c>
    </row>
    <row r="14" spans="1:7" x14ac:dyDescent="0.35">
      <c r="A14" s="3" t="s">
        <v>71</v>
      </c>
      <c r="B14" s="4" t="s">
        <v>64</v>
      </c>
      <c r="C14" s="18">
        <v>43617</v>
      </c>
      <c r="D14" s="3">
        <f t="shared" si="0"/>
        <v>2019</v>
      </c>
      <c r="E14" s="19">
        <v>2.3168059865307861E-2</v>
      </c>
      <c r="F14" s="19">
        <f>$E14/exchange_rates!K14</f>
        <v>3.7315594354378347E-2</v>
      </c>
      <c r="G14" s="19">
        <f>$E14/exchange_rates!L14</f>
        <v>4.7103164581613378E-2</v>
      </c>
    </row>
    <row r="15" spans="1:7" x14ac:dyDescent="0.35">
      <c r="A15" s="3" t="s">
        <v>73</v>
      </c>
      <c r="B15" s="4" t="s">
        <v>37</v>
      </c>
      <c r="C15" s="18">
        <v>44166</v>
      </c>
      <c r="D15" s="3">
        <f t="shared" si="0"/>
        <v>2021</v>
      </c>
      <c r="E15" s="19">
        <v>8.0195529026025111E-3</v>
      </c>
      <c r="F15" s="19">
        <f>$E15/exchange_rates!K15</f>
        <v>1.3288556425959778E-2</v>
      </c>
      <c r="G15" s="19">
        <f>$E15/exchange_rates!L15</f>
        <v>2.1645008478526805E-2</v>
      </c>
    </row>
    <row r="16" spans="1:7" x14ac:dyDescent="0.35">
      <c r="A16" s="3" t="s">
        <v>74</v>
      </c>
      <c r="B16" s="4" t="s">
        <v>36</v>
      </c>
      <c r="C16" s="18">
        <v>41883</v>
      </c>
      <c r="D16" s="3">
        <f t="shared" si="0"/>
        <v>2015</v>
      </c>
      <c r="E16" s="19">
        <v>13.403916322116125</v>
      </c>
      <c r="F16" s="19">
        <f>$E16/exchange_rates!K16</f>
        <v>6.3928229581667578E-2</v>
      </c>
      <c r="G16" s="19">
        <f>$E16/exchange_rates!L16</f>
        <v>0.15043885891283434</v>
      </c>
    </row>
    <row r="17" spans="1:7" x14ac:dyDescent="0.35">
      <c r="A17" s="3" t="s">
        <v>74</v>
      </c>
      <c r="B17" s="4" t="s">
        <v>64</v>
      </c>
      <c r="C17" s="18">
        <v>43891</v>
      </c>
      <c r="D17" s="3">
        <f t="shared" si="0"/>
        <v>2020</v>
      </c>
      <c r="E17" s="19">
        <v>4.9045186562851999</v>
      </c>
      <c r="F17" s="19">
        <f>$E17/exchange_rates!K17</f>
        <v>2.3138831825151623E-2</v>
      </c>
      <c r="G17" s="19">
        <f>$E17/exchange_rates!L17</f>
        <v>4.9487049357849269E-2</v>
      </c>
    </row>
    <row r="18" spans="1:7" x14ac:dyDescent="0.35">
      <c r="A18" s="3" t="s">
        <v>74</v>
      </c>
      <c r="B18" s="4" t="s">
        <v>36</v>
      </c>
      <c r="C18" s="18">
        <v>44197</v>
      </c>
      <c r="D18" s="3">
        <f t="shared" si="0"/>
        <v>2021</v>
      </c>
      <c r="E18" s="19">
        <v>7.2739886526972128</v>
      </c>
      <c r="F18" s="19">
        <f>$E18/exchange_rates!K18</f>
        <v>3.1943272213893974E-2</v>
      </c>
      <c r="G18" s="19">
        <f>$E18/exchange_rates!L18</f>
        <v>7.0050046201157651E-2</v>
      </c>
    </row>
    <row r="19" spans="1:7" x14ac:dyDescent="0.35">
      <c r="A19" s="3" t="s">
        <v>75</v>
      </c>
      <c r="B19" s="4" t="s">
        <v>69</v>
      </c>
      <c r="C19" s="18">
        <v>40787</v>
      </c>
      <c r="D19" s="3">
        <f t="shared" si="0"/>
        <v>2012</v>
      </c>
      <c r="E19" s="19">
        <v>2.9692647856932465E-2</v>
      </c>
      <c r="F19" s="19">
        <f>$E19/exchange_rates!K19</f>
        <v>4.0083574398098322E-2</v>
      </c>
      <c r="G19" s="19">
        <f>$E19/exchange_rates!L19</f>
        <v>5.9137872310338152E-2</v>
      </c>
    </row>
    <row r="20" spans="1:7" x14ac:dyDescent="0.35">
      <c r="A20" s="3" t="s">
        <v>75</v>
      </c>
      <c r="B20" s="4" t="s">
        <v>72</v>
      </c>
      <c r="C20" s="18">
        <v>42248</v>
      </c>
      <c r="D20" s="3">
        <f t="shared" si="0"/>
        <v>2016</v>
      </c>
      <c r="E20" s="19">
        <v>1.8517743199524647E-2</v>
      </c>
      <c r="F20" s="19">
        <f>$E20/exchange_rates!K20</f>
        <v>2.733831966306724E-2</v>
      </c>
      <c r="G20" s="19">
        <f>$E20/exchange_rates!L20</f>
        <v>3.694280919223749E-2</v>
      </c>
    </row>
    <row r="21" spans="1:7" x14ac:dyDescent="0.35">
      <c r="A21" s="3" t="s">
        <v>76</v>
      </c>
      <c r="B21" s="4" t="s">
        <v>37</v>
      </c>
      <c r="C21" s="18">
        <v>41244</v>
      </c>
      <c r="D21" s="3">
        <f t="shared" si="0"/>
        <v>2013</v>
      </c>
      <c r="E21" s="19">
        <v>1.1800838277770077E-2</v>
      </c>
      <c r="F21" s="19">
        <f>$E21/exchange_rates!K21</f>
        <v>1.9591339529535152E-3</v>
      </c>
      <c r="G21" s="19">
        <f>$E21/exchange_rates!L21</f>
        <v>2.0111184130909318E-3</v>
      </c>
    </row>
    <row r="22" spans="1:7" x14ac:dyDescent="0.35">
      <c r="A22" s="3" t="s">
        <v>76</v>
      </c>
      <c r="B22" s="4" t="s">
        <v>69</v>
      </c>
      <c r="C22" s="18">
        <v>42339</v>
      </c>
      <c r="D22" s="3">
        <f t="shared" si="0"/>
        <v>2016</v>
      </c>
      <c r="E22" s="19">
        <v>0.57474666324382817</v>
      </c>
      <c r="F22" s="19">
        <f>$E22/exchange_rates!K22</f>
        <v>9.4869032157367861E-2</v>
      </c>
      <c r="G22" s="19">
        <f>$E22/exchange_rates!L22</f>
        <v>8.5275370802570111E-2</v>
      </c>
    </row>
    <row r="23" spans="1:7" x14ac:dyDescent="0.35">
      <c r="A23" s="3" t="s">
        <v>77</v>
      </c>
      <c r="B23" s="4" t="s">
        <v>69</v>
      </c>
      <c r="C23" s="18">
        <v>41183</v>
      </c>
      <c r="D23" s="3">
        <f t="shared" si="0"/>
        <v>2013</v>
      </c>
      <c r="E23" s="19">
        <v>1.3314955478761555E-2</v>
      </c>
      <c r="F23" s="19">
        <f>$E23/exchange_rates!K23</f>
        <v>1.6519717424189357E-2</v>
      </c>
      <c r="G23" s="19">
        <f>$E23/exchange_rates!L23</f>
        <v>4.776148097824038E-2</v>
      </c>
    </row>
    <row r="24" spans="1:7" x14ac:dyDescent="0.35">
      <c r="A24" s="3" t="s">
        <v>78</v>
      </c>
      <c r="B24" s="4" t="s">
        <v>36</v>
      </c>
      <c r="C24" s="18">
        <v>44470</v>
      </c>
      <c r="D24" s="3">
        <f t="shared" si="0"/>
        <v>2022</v>
      </c>
      <c r="E24" s="19">
        <v>1.7011781265096965E-2</v>
      </c>
      <c r="F24" s="19">
        <f>$E24/exchange_rates!K24</f>
        <v>2.6813941841711632E-2</v>
      </c>
      <c r="G24" s="19">
        <f>$E24/exchange_rates!L24</f>
        <v>4.4827011411180132E-2</v>
      </c>
    </row>
    <row r="25" spans="1:7" x14ac:dyDescent="0.35">
      <c r="A25" s="3" t="s">
        <v>78</v>
      </c>
      <c r="B25" s="4" t="s">
        <v>64</v>
      </c>
      <c r="C25" s="18">
        <v>44470</v>
      </c>
      <c r="D25" s="3">
        <f t="shared" si="0"/>
        <v>2022</v>
      </c>
      <c r="E25" s="19">
        <v>9.9723155677274942E-3</v>
      </c>
      <c r="F25" s="19">
        <f>$E25/exchange_rates!K25</f>
        <v>1.5718347508315227E-2</v>
      </c>
      <c r="G25" s="19">
        <f>$E25/exchange_rates!L25</f>
        <v>2.6277618832754351E-2</v>
      </c>
    </row>
    <row r="26" spans="1:7" x14ac:dyDescent="0.35">
      <c r="A26" s="3" t="s">
        <v>79</v>
      </c>
      <c r="B26" s="4" t="s">
        <v>72</v>
      </c>
      <c r="C26" s="18">
        <v>44287</v>
      </c>
      <c r="D26" s="3">
        <f t="shared" si="0"/>
        <v>2021</v>
      </c>
      <c r="E26" s="19">
        <v>1.8532077168523216E-3</v>
      </c>
      <c r="F26" s="19">
        <f>$E26/exchange_rates!K26</f>
        <v>2.9210229761325417E-3</v>
      </c>
      <c r="G26" s="19">
        <f>$E26/exchange_rates!L26</f>
        <v>4.9230120551619792E-3</v>
      </c>
    </row>
    <row r="27" spans="1:7" x14ac:dyDescent="0.35">
      <c r="A27" s="3" t="s">
        <v>79</v>
      </c>
      <c r="B27" s="4" t="s">
        <v>64</v>
      </c>
      <c r="C27" s="18">
        <v>44287</v>
      </c>
      <c r="D27" s="3">
        <f t="shared" si="0"/>
        <v>2021</v>
      </c>
      <c r="E27" s="19">
        <v>3.1580040745205165E-2</v>
      </c>
      <c r="F27" s="19">
        <f>$E27/exchange_rates!K27</f>
        <v>4.9776408637357848E-2</v>
      </c>
      <c r="G27" s="19">
        <f>$E27/exchange_rates!L27</f>
        <v>8.3891794685172105E-2</v>
      </c>
    </row>
    <row r="28" spans="1:7" x14ac:dyDescent="0.35">
      <c r="A28" s="3" t="s">
        <v>80</v>
      </c>
      <c r="B28" s="4" t="s">
        <v>69</v>
      </c>
      <c r="C28" s="18">
        <v>40664</v>
      </c>
      <c r="D28" s="3">
        <f t="shared" si="0"/>
        <v>2011</v>
      </c>
      <c r="E28" s="19">
        <v>2.8837259198072631E-3</v>
      </c>
      <c r="F28" s="19">
        <f>$E28/exchange_rates!K28</f>
        <v>3.892884292679599E-3</v>
      </c>
      <c r="G28" s="19">
        <f>$E28/exchange_rates!L28</f>
        <v>6.101782477082718E-3</v>
      </c>
    </row>
    <row r="29" spans="1:7" x14ac:dyDescent="0.35">
      <c r="A29" s="3" t="s">
        <v>81</v>
      </c>
      <c r="B29" s="4" t="s">
        <v>69</v>
      </c>
      <c r="C29" s="18">
        <v>40817</v>
      </c>
      <c r="D29" s="3">
        <f t="shared" si="0"/>
        <v>2012</v>
      </c>
      <c r="E29" s="19">
        <v>0.18363198498552347</v>
      </c>
      <c r="F29" s="19">
        <f>$E29/exchange_rates!K29</f>
        <v>2.7415610079540454E-2</v>
      </c>
      <c r="G29" s="19">
        <f>$E29/exchange_rates!L29</f>
        <v>3.137450932236021E-2</v>
      </c>
    </row>
    <row r="30" spans="1:7" x14ac:dyDescent="0.35">
      <c r="A30" s="3" t="s">
        <v>81</v>
      </c>
      <c r="B30" s="4" t="s">
        <v>69</v>
      </c>
      <c r="C30" s="18">
        <v>42644</v>
      </c>
      <c r="D30" s="3">
        <f t="shared" si="0"/>
        <v>2017</v>
      </c>
      <c r="E30" s="19">
        <v>0.13641239771586466</v>
      </c>
      <c r="F30" s="19">
        <f>$E30/exchange_rates!K30</f>
        <v>2.1432380578472202E-2</v>
      </c>
      <c r="G30" s="19">
        <f>$E30/exchange_rates!L30</f>
        <v>2.24219131467857E-2</v>
      </c>
    </row>
    <row r="31" spans="1:7" x14ac:dyDescent="0.35">
      <c r="A31" s="3" t="s">
        <v>81</v>
      </c>
      <c r="B31" s="4" t="s">
        <v>64</v>
      </c>
      <c r="C31" s="18">
        <v>45170</v>
      </c>
      <c r="D31" s="3">
        <f t="shared" si="0"/>
        <v>2024</v>
      </c>
      <c r="E31" s="19">
        <v>5.0350317334864926E-2</v>
      </c>
      <c r="F31" s="19">
        <f>$E31/exchange_rates!K31</f>
        <v>7.1428553897137179E-3</v>
      </c>
      <c r="G31" s="19">
        <f>$E31/exchange_rates!L31</f>
        <v>8.231451782285246E-3</v>
      </c>
    </row>
    <row r="32" spans="1:7" x14ac:dyDescent="0.35">
      <c r="A32" s="3" t="s">
        <v>82</v>
      </c>
      <c r="B32" s="4" t="s">
        <v>83</v>
      </c>
      <c r="C32" s="18">
        <v>41671</v>
      </c>
      <c r="D32" s="3">
        <f t="shared" si="0"/>
        <v>2014</v>
      </c>
      <c r="E32" s="19">
        <v>6.894060746031952E-2</v>
      </c>
      <c r="F32" s="19">
        <f>$E32/exchange_rates!K32</f>
        <v>7.6480179300978779E-2</v>
      </c>
      <c r="G32" s="19">
        <f>$E32/exchange_rates!L32</f>
        <v>0.10013547398943204</v>
      </c>
    </row>
    <row r="33" spans="1:7" x14ac:dyDescent="0.35">
      <c r="A33" s="3" t="s">
        <v>82</v>
      </c>
      <c r="B33" s="4" t="s">
        <v>84</v>
      </c>
      <c r="C33" s="18">
        <v>42005</v>
      </c>
      <c r="D33" s="3">
        <f t="shared" si="0"/>
        <v>2015</v>
      </c>
      <c r="E33" s="19">
        <v>0.27822086055191086</v>
      </c>
      <c r="F33" s="19">
        <f>$E33/exchange_rates!K33</f>
        <v>0.37033707829250462</v>
      </c>
      <c r="G33" s="19">
        <f>$E33/exchange_rates!L33</f>
        <v>0.41001157820760609</v>
      </c>
    </row>
    <row r="34" spans="1:7" x14ac:dyDescent="0.35">
      <c r="A34" s="3" t="s">
        <v>85</v>
      </c>
      <c r="B34" s="4" t="s">
        <v>86</v>
      </c>
      <c r="C34" s="18">
        <v>41334</v>
      </c>
      <c r="D34" s="3">
        <f t="shared" si="0"/>
        <v>2013</v>
      </c>
      <c r="E34" s="19">
        <v>2.2105753170663153E-2</v>
      </c>
      <c r="F34" s="19">
        <f>$E34/exchange_rates!K34</f>
        <v>2.2898091815218465E-2</v>
      </c>
      <c r="G34" s="19">
        <f>$E34/exchange_rates!L34</f>
        <v>3.6048153242473582E-2</v>
      </c>
    </row>
    <row r="35" spans="1:7" x14ac:dyDescent="0.35">
      <c r="A35" s="3" t="s">
        <v>85</v>
      </c>
      <c r="B35" s="4" t="s">
        <v>87</v>
      </c>
      <c r="C35" s="18">
        <v>41334</v>
      </c>
      <c r="D35" s="3">
        <f t="shared" si="0"/>
        <v>2013</v>
      </c>
      <c r="E35" s="19">
        <v>2.8001866634090405E-2</v>
      </c>
      <c r="F35" s="19">
        <f>$E35/exchange_rates!K35</f>
        <v>2.9005540242611396E-2</v>
      </c>
      <c r="G35" s="19">
        <f>$E35/exchange_rates!L35</f>
        <v>4.5663025896833409E-2</v>
      </c>
    </row>
    <row r="36" spans="1:7" x14ac:dyDescent="0.35">
      <c r="A36" s="3" t="s">
        <v>85</v>
      </c>
      <c r="B36" s="4" t="s">
        <v>86</v>
      </c>
      <c r="C36" s="18">
        <v>42979</v>
      </c>
      <c r="D36" s="3">
        <f t="shared" si="0"/>
        <v>2018</v>
      </c>
      <c r="E36" s="19">
        <v>2.8716536240175519E-2</v>
      </c>
      <c r="F36" s="19">
        <f>$E36/exchange_rates!K36</f>
        <v>3.7468132594674422E-2</v>
      </c>
      <c r="G36" s="19">
        <f>$E36/exchange_rates!L36</f>
        <v>5.2210179809379191E-2</v>
      </c>
    </row>
    <row r="37" spans="1:7" x14ac:dyDescent="0.35">
      <c r="A37" s="3" t="s">
        <v>85</v>
      </c>
      <c r="B37" s="4" t="s">
        <v>64</v>
      </c>
      <c r="C37" s="18">
        <v>42979</v>
      </c>
      <c r="D37" s="3">
        <f t="shared" si="0"/>
        <v>2018</v>
      </c>
      <c r="E37" s="19">
        <v>6.4612206540394911E-3</v>
      </c>
      <c r="F37" s="19">
        <f>$E37/exchange_rates!K37</f>
        <v>8.430329833801745E-3</v>
      </c>
      <c r="G37" s="19">
        <f>$E37/exchange_rates!L37</f>
        <v>1.1747290457110317E-2</v>
      </c>
    </row>
    <row r="38" spans="1:7" x14ac:dyDescent="0.35">
      <c r="A38" s="3" t="s">
        <v>85</v>
      </c>
      <c r="B38" s="4" t="s">
        <v>86</v>
      </c>
      <c r="C38" s="18">
        <v>43770</v>
      </c>
      <c r="D38" s="3">
        <f t="shared" si="0"/>
        <v>2020</v>
      </c>
      <c r="E38" s="19">
        <v>1.9803499775000288E-2</v>
      </c>
      <c r="F38" s="19">
        <f>$E38/exchange_rates!K38</f>
        <v>2.8487464024674829E-2</v>
      </c>
      <c r="G38" s="19">
        <f>$E38/exchange_rates!L38</f>
        <v>4.0679581831541162E-2</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5A0364-5F01-4BBD-9861-7E094C026537}">
  <sheetPr>
    <tabColor theme="9" tint="0.79998168889431442"/>
  </sheetPr>
  <dimension ref="A1:I39"/>
  <sheetViews>
    <sheetView workbookViewId="0">
      <pane xSplit="3" ySplit="1" topLeftCell="D2" activePane="bottomRight" state="frozen"/>
      <selection pane="topRight" activeCell="D1" sqref="D1"/>
      <selection pane="bottomLeft" activeCell="A2" sqref="A2"/>
      <selection pane="bottomRight" activeCell="E2" sqref="E2:E38"/>
    </sheetView>
  </sheetViews>
  <sheetFormatPr defaultRowHeight="14.5" x14ac:dyDescent="0.35"/>
  <cols>
    <col min="1" max="2" width="20.6328125" style="3" customWidth="1"/>
    <col min="3" max="3" width="17.6328125" style="36" customWidth="1"/>
    <col min="4" max="4" width="13.81640625" style="3" customWidth="1"/>
    <col min="5" max="5" width="17.1796875" style="3" customWidth="1"/>
    <col min="6" max="9" width="23" style="3" customWidth="1"/>
    <col min="10" max="16384" width="8.7265625" style="3"/>
  </cols>
  <sheetData>
    <row r="1" spans="1:9" ht="40" customHeight="1" x14ac:dyDescent="0.35">
      <c r="A1" s="33" t="s">
        <v>50</v>
      </c>
      <c r="B1" s="6" t="s">
        <v>51</v>
      </c>
      <c r="C1" s="35" t="s">
        <v>88</v>
      </c>
      <c r="D1" s="6" t="s">
        <v>96</v>
      </c>
      <c r="E1" s="6" t="s">
        <v>110</v>
      </c>
      <c r="F1" s="6" t="s">
        <v>108</v>
      </c>
      <c r="G1" s="6" t="s">
        <v>109</v>
      </c>
      <c r="H1" s="6" t="s">
        <v>111</v>
      </c>
      <c r="I1" s="6" t="s">
        <v>112</v>
      </c>
    </row>
    <row r="2" spans="1:9" x14ac:dyDescent="0.35">
      <c r="A2" s="3" t="s">
        <v>62</v>
      </c>
      <c r="B2" s="4" t="s">
        <v>36</v>
      </c>
      <c r="C2" s="36">
        <v>42401</v>
      </c>
      <c r="D2" s="3">
        <f>IF(MONTH(C2)&lt;7,YEAR(C2),YEAR(C2)+1)</f>
        <v>2016</v>
      </c>
      <c r="E2" s="19">
        <v>1.7249055942601701</v>
      </c>
      <c r="F2" s="19">
        <v>6.924558090943822E-2</v>
      </c>
      <c r="G2" s="19">
        <v>6.924558090943822E-2</v>
      </c>
      <c r="H2" s="19">
        <f>F2/$E2</f>
        <v>4.0144562774833116E-2</v>
      </c>
      <c r="I2" s="19">
        <f>G2/$E2</f>
        <v>4.0144562774833116E-2</v>
      </c>
    </row>
    <row r="3" spans="1:9" x14ac:dyDescent="0.35">
      <c r="A3" s="3" t="s">
        <v>63</v>
      </c>
      <c r="B3" s="4" t="s">
        <v>36</v>
      </c>
      <c r="C3" s="36">
        <v>44713</v>
      </c>
      <c r="D3" s="3">
        <f t="shared" ref="D3:D38" si="0">IF(MONTH(C3)&lt;7,YEAR(C3),YEAR(C3)+1)</f>
        <v>2022</v>
      </c>
      <c r="E3" s="19">
        <v>0.98735770414989998</v>
      </c>
      <c r="F3" s="19">
        <v>1.9837224264509765E-2</v>
      </c>
      <c r="G3" s="19">
        <v>2.5816215800089439E-2</v>
      </c>
      <c r="H3" s="19">
        <f t="shared" ref="H3:H38" si="1">F3/$E3</f>
        <v>2.0091223455423701E-2</v>
      </c>
      <c r="I3" s="19">
        <f t="shared" ref="I3:I38" si="2">G3/$E3</f>
        <v>2.6146771014783146E-2</v>
      </c>
    </row>
    <row r="4" spans="1:9" x14ac:dyDescent="0.35">
      <c r="A4" s="3" t="s">
        <v>63</v>
      </c>
      <c r="B4" s="4" t="s">
        <v>64</v>
      </c>
      <c r="C4" s="36">
        <v>44713</v>
      </c>
      <c r="D4" s="3">
        <f t="shared" si="0"/>
        <v>2022</v>
      </c>
      <c r="E4" s="19">
        <v>0.98735770414989998</v>
      </c>
      <c r="F4" s="19">
        <v>2.8627726541797831E-2</v>
      </c>
      <c r="G4" s="19">
        <v>3.7256198569637196E-2</v>
      </c>
      <c r="H4" s="19">
        <f t="shared" si="1"/>
        <v>2.8994280817858074E-2</v>
      </c>
      <c r="I4" s="19">
        <f t="shared" si="2"/>
        <v>3.7733233267991988E-2</v>
      </c>
    </row>
    <row r="5" spans="1:9" x14ac:dyDescent="0.35">
      <c r="A5" s="3" t="s">
        <v>65</v>
      </c>
      <c r="B5" s="4" t="s">
        <v>37</v>
      </c>
      <c r="C5" s="36">
        <v>42156</v>
      </c>
      <c r="D5" s="3">
        <f t="shared" si="0"/>
        <v>2015</v>
      </c>
      <c r="E5" s="19">
        <v>1.9310164554001659</v>
      </c>
      <c r="F5" s="19">
        <v>0.1196605256557918</v>
      </c>
      <c r="G5" s="19">
        <v>0.13574335302079107</v>
      </c>
      <c r="H5" s="19">
        <f t="shared" si="1"/>
        <v>6.1967636433732237E-2</v>
      </c>
      <c r="I5" s="19">
        <f t="shared" si="2"/>
        <v>7.0296321215274613E-2</v>
      </c>
    </row>
    <row r="6" spans="1:9" x14ac:dyDescent="0.35">
      <c r="A6" s="3" t="s">
        <v>66</v>
      </c>
      <c r="B6" s="4" t="s">
        <v>36</v>
      </c>
      <c r="C6" s="36">
        <v>44986</v>
      </c>
      <c r="D6" s="3">
        <f t="shared" si="0"/>
        <v>2023</v>
      </c>
      <c r="E6" s="19">
        <v>1.0040762671122119</v>
      </c>
      <c r="F6" s="19">
        <v>2.5383455034614318E-2</v>
      </c>
      <c r="G6" s="19">
        <v>5.0201540793367694E-2</v>
      </c>
      <c r="H6" s="19">
        <f t="shared" si="1"/>
        <v>2.5280405349703935E-2</v>
      </c>
      <c r="I6" s="19">
        <f t="shared" si="2"/>
        <v>4.9997736663720344E-2</v>
      </c>
    </row>
    <row r="7" spans="1:9" x14ac:dyDescent="0.35">
      <c r="A7" s="3" t="s">
        <v>66</v>
      </c>
      <c r="B7" s="4" t="s">
        <v>64</v>
      </c>
      <c r="C7" s="36">
        <v>44986</v>
      </c>
      <c r="D7" s="3">
        <f t="shared" si="0"/>
        <v>2023</v>
      </c>
      <c r="E7" s="19">
        <v>1.0040762671122119</v>
      </c>
      <c r="F7" s="19">
        <v>4.6435030785334334E-2</v>
      </c>
      <c r="G7" s="19">
        <v>9.1835807577511114E-2</v>
      </c>
      <c r="H7" s="19">
        <f t="shared" si="1"/>
        <v>4.6246517626479189E-2</v>
      </c>
      <c r="I7" s="19">
        <f t="shared" si="2"/>
        <v>9.146298003998922E-2</v>
      </c>
    </row>
    <row r="8" spans="1:9" x14ac:dyDescent="0.35">
      <c r="A8" s="3" t="s">
        <v>67</v>
      </c>
      <c r="B8" s="4" t="s">
        <v>36</v>
      </c>
      <c r="C8" s="36">
        <v>41579</v>
      </c>
      <c r="D8" s="3">
        <f t="shared" si="0"/>
        <v>2014</v>
      </c>
      <c r="E8" s="19">
        <v>2.1337199562248221</v>
      </c>
      <c r="F8" s="19">
        <v>8.8308423066384024E-3</v>
      </c>
      <c r="G8" s="19">
        <v>1.8884584439881169E-2</v>
      </c>
      <c r="H8" s="19">
        <f t="shared" si="1"/>
        <v>4.1387072754677512E-3</v>
      </c>
      <c r="I8" s="19">
        <f t="shared" si="2"/>
        <v>8.8505449765270746E-3</v>
      </c>
    </row>
    <row r="9" spans="1:9" x14ac:dyDescent="0.35">
      <c r="A9" s="3" t="s">
        <v>67</v>
      </c>
      <c r="B9" s="4" t="s">
        <v>36</v>
      </c>
      <c r="C9" s="36">
        <v>42522</v>
      </c>
      <c r="D9" s="3">
        <f t="shared" si="0"/>
        <v>2016</v>
      </c>
      <c r="E9" s="19">
        <v>1.7249055942601701</v>
      </c>
      <c r="F9" s="19">
        <v>2.8110408329994032E-2</v>
      </c>
      <c r="G9" s="19">
        <v>5.8889227107805468E-2</v>
      </c>
      <c r="H9" s="19">
        <f t="shared" si="1"/>
        <v>1.6296780776602952E-2</v>
      </c>
      <c r="I9" s="19">
        <f t="shared" si="2"/>
        <v>3.4140550824211149E-2</v>
      </c>
    </row>
    <row r="10" spans="1:9" x14ac:dyDescent="0.35">
      <c r="A10" s="3" t="s">
        <v>68</v>
      </c>
      <c r="B10" s="4" t="s">
        <v>69</v>
      </c>
      <c r="C10" s="36">
        <v>42614</v>
      </c>
      <c r="D10" s="3">
        <f t="shared" si="0"/>
        <v>2017</v>
      </c>
      <c r="E10" s="19">
        <v>1.4945453451528885</v>
      </c>
      <c r="F10" s="19">
        <v>3.0518739935919623E-2</v>
      </c>
      <c r="G10" s="19">
        <v>3.1281780055461235E-2</v>
      </c>
      <c r="H10" s="19">
        <f t="shared" si="1"/>
        <v>2.0420082960278214E-2</v>
      </c>
      <c r="I10" s="19">
        <f t="shared" si="2"/>
        <v>2.093063295597845E-2</v>
      </c>
    </row>
    <row r="11" spans="1:9" x14ac:dyDescent="0.35">
      <c r="A11" s="3" t="s">
        <v>70</v>
      </c>
      <c r="B11" s="4" t="s">
        <v>64</v>
      </c>
      <c r="C11" s="36">
        <v>40299</v>
      </c>
      <c r="D11" s="3">
        <f t="shared" si="0"/>
        <v>2010</v>
      </c>
      <c r="E11" s="19">
        <v>2.0815504760424952</v>
      </c>
      <c r="F11" s="19">
        <v>7.1715238068118942E-2</v>
      </c>
      <c r="G11" s="19">
        <v>8.7251234334469824E-2</v>
      </c>
      <c r="H11" s="19">
        <f t="shared" si="1"/>
        <v>3.4452797995303028E-2</v>
      </c>
      <c r="I11" s="19">
        <f t="shared" si="2"/>
        <v>4.1916463395283321E-2</v>
      </c>
    </row>
    <row r="12" spans="1:9" x14ac:dyDescent="0.35">
      <c r="A12" s="3" t="s">
        <v>71</v>
      </c>
      <c r="B12" s="4" t="s">
        <v>72</v>
      </c>
      <c r="C12" s="36">
        <v>42156</v>
      </c>
      <c r="D12" s="3">
        <f t="shared" si="0"/>
        <v>2015</v>
      </c>
      <c r="E12" s="19">
        <v>1.9310164554001659</v>
      </c>
      <c r="F12" s="19">
        <v>1.4932586124755679E-2</v>
      </c>
      <c r="G12" s="19">
        <v>1.915622832729641E-2</v>
      </c>
      <c r="H12" s="19">
        <f t="shared" si="1"/>
        <v>7.7330185783741493E-3</v>
      </c>
      <c r="I12" s="19">
        <f t="shared" si="2"/>
        <v>9.9202822812437669E-3</v>
      </c>
    </row>
    <row r="13" spans="1:9" x14ac:dyDescent="0.35">
      <c r="A13" s="3" t="s">
        <v>71</v>
      </c>
      <c r="B13" s="4" t="s">
        <v>69</v>
      </c>
      <c r="C13" s="36">
        <v>42156</v>
      </c>
      <c r="D13" s="3">
        <f t="shared" si="0"/>
        <v>2015</v>
      </c>
      <c r="E13" s="19">
        <v>1.9310164554001659</v>
      </c>
      <c r="F13" s="19">
        <v>4.5361081438846568E-2</v>
      </c>
      <c r="G13" s="19">
        <v>5.8191342474500501E-2</v>
      </c>
      <c r="H13" s="19">
        <f t="shared" si="1"/>
        <v>2.349077933126487E-2</v>
      </c>
      <c r="I13" s="19">
        <f t="shared" si="2"/>
        <v>3.0135083681843339E-2</v>
      </c>
    </row>
    <row r="14" spans="1:9" x14ac:dyDescent="0.35">
      <c r="A14" s="3" t="s">
        <v>71</v>
      </c>
      <c r="B14" s="4" t="s">
        <v>64</v>
      </c>
      <c r="C14" s="36">
        <v>43617</v>
      </c>
      <c r="D14" s="3">
        <f t="shared" si="0"/>
        <v>2019</v>
      </c>
      <c r="E14" s="19">
        <v>1.3030077488346661</v>
      </c>
      <c r="F14" s="19">
        <v>3.7315594354378347E-2</v>
      </c>
      <c r="G14" s="19">
        <v>4.7103164581613378E-2</v>
      </c>
      <c r="H14" s="19">
        <f t="shared" si="1"/>
        <v>2.863804485257377E-2</v>
      </c>
      <c r="I14" s="19">
        <f t="shared" si="2"/>
        <v>3.6149565974369448E-2</v>
      </c>
    </row>
    <row r="15" spans="1:9" x14ac:dyDescent="0.35">
      <c r="A15" s="3" t="s">
        <v>73</v>
      </c>
      <c r="B15" s="4" t="s">
        <v>37</v>
      </c>
      <c r="C15" s="36">
        <v>44166</v>
      </c>
      <c r="D15" s="3">
        <f t="shared" si="0"/>
        <v>2021</v>
      </c>
      <c r="E15" s="19">
        <v>1.0643594534579426</v>
      </c>
      <c r="F15" s="19">
        <v>1.3288556425959778E-2</v>
      </c>
      <c r="G15" s="19">
        <v>2.1645008478526805E-2</v>
      </c>
      <c r="H15" s="19">
        <f t="shared" si="1"/>
        <v>1.2485026917163437E-2</v>
      </c>
      <c r="I15" s="19">
        <f t="shared" si="2"/>
        <v>2.0336182863980257E-2</v>
      </c>
    </row>
    <row r="16" spans="1:9" x14ac:dyDescent="0.35">
      <c r="A16" s="3" t="s">
        <v>74</v>
      </c>
      <c r="B16" s="4" t="s">
        <v>36</v>
      </c>
      <c r="C16" s="36">
        <v>41883</v>
      </c>
      <c r="D16" s="3">
        <f t="shared" si="0"/>
        <v>2015</v>
      </c>
      <c r="E16" s="19">
        <v>1.9310164554001659</v>
      </c>
      <c r="F16" s="19">
        <v>6.3928229581667578E-2</v>
      </c>
      <c r="G16" s="19">
        <v>0.15043885891283434</v>
      </c>
      <c r="H16" s="19">
        <f t="shared" si="1"/>
        <v>3.3105999383324619E-2</v>
      </c>
      <c r="I16" s="19">
        <f t="shared" si="2"/>
        <v>7.7906564955532082E-2</v>
      </c>
    </row>
    <row r="17" spans="1:9" x14ac:dyDescent="0.35">
      <c r="A17" s="3" t="s">
        <v>74</v>
      </c>
      <c r="B17" s="4" t="s">
        <v>64</v>
      </c>
      <c r="C17" s="36">
        <v>43891</v>
      </c>
      <c r="D17" s="3">
        <f t="shared" si="0"/>
        <v>2020</v>
      </c>
      <c r="E17" s="19">
        <v>1.1693239238142432</v>
      </c>
      <c r="F17" s="19">
        <v>2.3138831825151623E-2</v>
      </c>
      <c r="G17" s="19">
        <v>4.9487049357849269E-2</v>
      </c>
      <c r="H17" s="19">
        <f t="shared" si="1"/>
        <v>1.9788213816471455E-2</v>
      </c>
      <c r="I17" s="19">
        <f t="shared" si="2"/>
        <v>4.2321078317141055E-2</v>
      </c>
    </row>
    <row r="18" spans="1:9" x14ac:dyDescent="0.35">
      <c r="A18" s="3" t="s">
        <v>74</v>
      </c>
      <c r="B18" s="4" t="s">
        <v>36</v>
      </c>
      <c r="C18" s="36">
        <v>44197</v>
      </c>
      <c r="D18" s="3">
        <f t="shared" si="0"/>
        <v>2021</v>
      </c>
      <c r="E18" s="19">
        <v>1.0643594534579426</v>
      </c>
      <c r="F18" s="19">
        <v>3.1943272213893974E-2</v>
      </c>
      <c r="G18" s="19">
        <v>7.0050046201157651E-2</v>
      </c>
      <c r="H18" s="19">
        <f t="shared" si="1"/>
        <v>3.001173345162212E-2</v>
      </c>
      <c r="I18" s="19">
        <f t="shared" si="2"/>
        <v>6.5814275406279016E-2</v>
      </c>
    </row>
    <row r="19" spans="1:9" x14ac:dyDescent="0.35">
      <c r="A19" s="3" t="s">
        <v>75</v>
      </c>
      <c r="B19" s="4" t="s">
        <v>69</v>
      </c>
      <c r="C19" s="36">
        <v>40787</v>
      </c>
      <c r="D19" s="3">
        <f t="shared" si="0"/>
        <v>2012</v>
      </c>
      <c r="E19" s="19">
        <v>2.2358856581749236</v>
      </c>
      <c r="F19" s="19">
        <v>4.0083574398098322E-2</v>
      </c>
      <c r="G19" s="19">
        <v>5.9137872310338152E-2</v>
      </c>
      <c r="H19" s="19">
        <f t="shared" si="1"/>
        <v>1.7927381148290546E-2</v>
      </c>
      <c r="I19" s="19">
        <f t="shared" si="2"/>
        <v>2.6449417077351961E-2</v>
      </c>
    </row>
    <row r="20" spans="1:9" x14ac:dyDescent="0.35">
      <c r="A20" s="3" t="s">
        <v>75</v>
      </c>
      <c r="B20" s="4" t="s">
        <v>72</v>
      </c>
      <c r="C20" s="36">
        <v>42248</v>
      </c>
      <c r="D20" s="3">
        <f t="shared" si="0"/>
        <v>2016</v>
      </c>
      <c r="E20" s="19">
        <v>1.7249055942601701</v>
      </c>
      <c r="F20" s="19">
        <v>2.733831966306724E-2</v>
      </c>
      <c r="G20" s="19">
        <v>3.694280919223749E-2</v>
      </c>
      <c r="H20" s="19">
        <f t="shared" si="1"/>
        <v>1.5849168646700881E-2</v>
      </c>
      <c r="I20" s="19">
        <f t="shared" si="2"/>
        <v>2.1417293395748216E-2</v>
      </c>
    </row>
    <row r="21" spans="1:9" x14ac:dyDescent="0.35">
      <c r="A21" s="3" t="s">
        <v>76</v>
      </c>
      <c r="B21" s="4" t="s">
        <v>37</v>
      </c>
      <c r="C21" s="36">
        <v>41244</v>
      </c>
      <c r="D21" s="3">
        <f t="shared" si="0"/>
        <v>2013</v>
      </c>
      <c r="E21" s="19">
        <v>2.1942719407260389</v>
      </c>
      <c r="F21" s="19">
        <v>1.9591339529535152E-3</v>
      </c>
      <c r="G21" s="19">
        <v>2.0111184130909318E-3</v>
      </c>
      <c r="H21" s="19">
        <f t="shared" si="1"/>
        <v>8.9284008813660467E-4</v>
      </c>
      <c r="I21" s="19">
        <f t="shared" si="2"/>
        <v>9.165310715432539E-4</v>
      </c>
    </row>
    <row r="22" spans="1:9" x14ac:dyDescent="0.35">
      <c r="A22" s="3" t="s">
        <v>76</v>
      </c>
      <c r="B22" s="4" t="s">
        <v>69</v>
      </c>
      <c r="C22" s="36">
        <v>42339</v>
      </c>
      <c r="D22" s="3">
        <f t="shared" si="0"/>
        <v>2016</v>
      </c>
      <c r="E22" s="19">
        <v>1.7249055942601701</v>
      </c>
      <c r="F22" s="19">
        <v>9.4869032157367861E-2</v>
      </c>
      <c r="G22" s="19">
        <v>8.5275370802570111E-2</v>
      </c>
      <c r="H22" s="19">
        <f t="shared" si="1"/>
        <v>5.4999550394558359E-2</v>
      </c>
      <c r="I22" s="19">
        <f t="shared" si="2"/>
        <v>4.9437703191603136E-2</v>
      </c>
    </row>
    <row r="23" spans="1:9" x14ac:dyDescent="0.35">
      <c r="A23" s="3" t="s">
        <v>77</v>
      </c>
      <c r="B23" s="4" t="s">
        <v>69</v>
      </c>
      <c r="C23" s="36">
        <v>41183</v>
      </c>
      <c r="D23" s="3">
        <f t="shared" si="0"/>
        <v>2013</v>
      </c>
      <c r="E23" s="19">
        <v>2.1942719407260389</v>
      </c>
      <c r="F23" s="19">
        <v>1.6519717424189357E-2</v>
      </c>
      <c r="G23" s="19">
        <v>4.776148097824038E-2</v>
      </c>
      <c r="H23" s="19">
        <f t="shared" si="1"/>
        <v>7.5285643121897304E-3</v>
      </c>
      <c r="I23" s="19">
        <f t="shared" si="2"/>
        <v>2.1766436553181782E-2</v>
      </c>
    </row>
    <row r="24" spans="1:9" x14ac:dyDescent="0.35">
      <c r="A24" s="3" t="s">
        <v>78</v>
      </c>
      <c r="B24" s="4" t="s">
        <v>36</v>
      </c>
      <c r="C24" s="36">
        <v>44470</v>
      </c>
      <c r="D24" s="3">
        <f t="shared" si="0"/>
        <v>2022</v>
      </c>
      <c r="E24" s="19">
        <v>0.98735770414989998</v>
      </c>
      <c r="F24" s="19">
        <v>2.6813941841711632E-2</v>
      </c>
      <c r="G24" s="19">
        <v>4.4827011411180132E-2</v>
      </c>
      <c r="H24" s="19">
        <f t="shared" si="1"/>
        <v>2.7157272110210583E-2</v>
      </c>
      <c r="I24" s="19">
        <f t="shared" si="2"/>
        <v>4.5400984083853894E-2</v>
      </c>
    </row>
    <row r="25" spans="1:9" x14ac:dyDescent="0.35">
      <c r="A25" s="3" t="s">
        <v>78</v>
      </c>
      <c r="B25" s="4" t="s">
        <v>64</v>
      </c>
      <c r="C25" s="36">
        <v>44470</v>
      </c>
      <c r="D25" s="3">
        <f t="shared" si="0"/>
        <v>2022</v>
      </c>
      <c r="E25" s="19">
        <v>0.98735770414989998</v>
      </c>
      <c r="F25" s="19">
        <v>1.5718347508315227E-2</v>
      </c>
      <c r="G25" s="19">
        <v>2.6277618832754351E-2</v>
      </c>
      <c r="H25" s="19">
        <f t="shared" si="1"/>
        <v>1.5919607901220042E-2</v>
      </c>
      <c r="I25" s="19">
        <f t="shared" si="2"/>
        <v>2.6614081930295953E-2</v>
      </c>
    </row>
    <row r="26" spans="1:9" x14ac:dyDescent="0.35">
      <c r="A26" s="3" t="s">
        <v>79</v>
      </c>
      <c r="B26" s="4" t="s">
        <v>72</v>
      </c>
      <c r="C26" s="36">
        <v>44287</v>
      </c>
      <c r="D26" s="3">
        <f t="shared" si="0"/>
        <v>2021</v>
      </c>
      <c r="E26" s="19">
        <v>1.0643594534579426</v>
      </c>
      <c r="F26" s="19">
        <v>2.9210229761325417E-3</v>
      </c>
      <c r="G26" s="19">
        <v>4.9230120551619792E-3</v>
      </c>
      <c r="H26" s="19">
        <f t="shared" si="1"/>
        <v>2.7443952009282022E-3</v>
      </c>
      <c r="I26" s="19">
        <f t="shared" si="2"/>
        <v>4.6253284444158962E-3</v>
      </c>
    </row>
    <row r="27" spans="1:9" x14ac:dyDescent="0.35">
      <c r="A27" s="3" t="s">
        <v>79</v>
      </c>
      <c r="B27" s="4" t="s">
        <v>64</v>
      </c>
      <c r="C27" s="36">
        <v>44287</v>
      </c>
      <c r="D27" s="3">
        <f t="shared" si="0"/>
        <v>2021</v>
      </c>
      <c r="E27" s="19">
        <v>1.0643594534579426</v>
      </c>
      <c r="F27" s="19">
        <v>4.9776408637357848E-2</v>
      </c>
      <c r="G27" s="19">
        <v>8.3891794685172105E-2</v>
      </c>
      <c r="H27" s="19">
        <f t="shared" si="1"/>
        <v>4.6766539702016871E-2</v>
      </c>
      <c r="I27" s="19">
        <f t="shared" si="2"/>
        <v>7.8819044085736617E-2</v>
      </c>
    </row>
    <row r="28" spans="1:9" x14ac:dyDescent="0.35">
      <c r="A28" s="3" t="s">
        <v>80</v>
      </c>
      <c r="B28" s="4" t="s">
        <v>69</v>
      </c>
      <c r="C28" s="36">
        <v>40664</v>
      </c>
      <c r="D28" s="3">
        <f t="shared" si="0"/>
        <v>2011</v>
      </c>
      <c r="E28" s="19">
        <v>2.18960713287359</v>
      </c>
      <c r="F28" s="19">
        <v>3.892884292679599E-3</v>
      </c>
      <c r="G28" s="19">
        <v>6.101782477082718E-3</v>
      </c>
      <c r="H28" s="19">
        <f t="shared" si="1"/>
        <v>1.7778916748278342E-3</v>
      </c>
      <c r="I28" s="19">
        <f t="shared" si="2"/>
        <v>2.7867019546446575E-3</v>
      </c>
    </row>
    <row r="29" spans="1:9" x14ac:dyDescent="0.35">
      <c r="A29" s="3" t="s">
        <v>81</v>
      </c>
      <c r="B29" s="4" t="s">
        <v>69</v>
      </c>
      <c r="C29" s="36">
        <v>40817</v>
      </c>
      <c r="D29" s="3">
        <f t="shared" si="0"/>
        <v>2012</v>
      </c>
      <c r="E29" s="19">
        <v>2.2358856581749236</v>
      </c>
      <c r="F29" s="19">
        <v>2.7415610079540454E-2</v>
      </c>
      <c r="G29" s="19">
        <v>3.137450932236021E-2</v>
      </c>
      <c r="H29" s="19">
        <f t="shared" si="1"/>
        <v>1.2261633317116436E-2</v>
      </c>
      <c r="I29" s="19">
        <f t="shared" si="2"/>
        <v>1.403225125025854E-2</v>
      </c>
    </row>
    <row r="30" spans="1:9" x14ac:dyDescent="0.35">
      <c r="A30" s="3" t="s">
        <v>81</v>
      </c>
      <c r="B30" s="4" t="s">
        <v>69</v>
      </c>
      <c r="C30" s="36">
        <v>42644</v>
      </c>
      <c r="D30" s="3">
        <f t="shared" si="0"/>
        <v>2017</v>
      </c>
      <c r="E30" s="19">
        <v>1.4945453451528885</v>
      </c>
      <c r="F30" s="19">
        <v>2.1432380578472202E-2</v>
      </c>
      <c r="G30" s="19">
        <v>2.24219131467857E-2</v>
      </c>
      <c r="H30" s="19">
        <f t="shared" si="1"/>
        <v>1.4340401680003707E-2</v>
      </c>
      <c r="I30" s="19">
        <f t="shared" si="2"/>
        <v>1.5002497729161901E-2</v>
      </c>
    </row>
    <row r="31" spans="1:9" x14ac:dyDescent="0.35">
      <c r="A31" s="3" t="s">
        <v>81</v>
      </c>
      <c r="B31" s="4" t="s">
        <v>64</v>
      </c>
      <c r="C31" s="36">
        <v>45170</v>
      </c>
      <c r="D31" s="3">
        <f t="shared" si="0"/>
        <v>2024</v>
      </c>
      <c r="E31" s="19">
        <v>1.0069637517181789</v>
      </c>
      <c r="F31" s="19">
        <v>7.1428553897137179E-3</v>
      </c>
      <c r="G31" s="19">
        <v>8.231451782285246E-3</v>
      </c>
      <c r="H31" s="19">
        <f t="shared" si="1"/>
        <v>7.0934583072388528E-3</v>
      </c>
      <c r="I31" s="19">
        <f t="shared" si="2"/>
        <v>8.1745264099526392E-3</v>
      </c>
    </row>
    <row r="32" spans="1:9" x14ac:dyDescent="0.35">
      <c r="A32" s="3" t="s">
        <v>82</v>
      </c>
      <c r="B32" s="4" t="s">
        <v>83</v>
      </c>
      <c r="C32" s="36">
        <v>41671</v>
      </c>
      <c r="D32" s="3">
        <f t="shared" si="0"/>
        <v>2014</v>
      </c>
      <c r="E32" s="19">
        <v>2.1337199562248221</v>
      </c>
      <c r="F32" s="19">
        <v>7.6480179300978779E-2</v>
      </c>
      <c r="G32" s="19">
        <v>0.10013547398943204</v>
      </c>
      <c r="H32" s="19">
        <f t="shared" si="1"/>
        <v>3.5843588132481403E-2</v>
      </c>
      <c r="I32" s="19">
        <f t="shared" si="2"/>
        <v>4.6929998333333833E-2</v>
      </c>
    </row>
    <row r="33" spans="1:9" x14ac:dyDescent="0.35">
      <c r="A33" s="3" t="s">
        <v>82</v>
      </c>
      <c r="B33" s="4" t="s">
        <v>84</v>
      </c>
      <c r="C33" s="36">
        <v>42005</v>
      </c>
      <c r="D33" s="3">
        <f t="shared" si="0"/>
        <v>2015</v>
      </c>
      <c r="E33" s="19">
        <v>1.9310164554001659</v>
      </c>
      <c r="F33" s="19">
        <v>0.37033707829250462</v>
      </c>
      <c r="G33" s="19">
        <v>0.41001157820760609</v>
      </c>
      <c r="H33" s="19">
        <f t="shared" si="1"/>
        <v>0.19178349167188191</v>
      </c>
      <c r="I33" s="19">
        <f t="shared" si="2"/>
        <v>0.21232940665057104</v>
      </c>
    </row>
    <row r="34" spans="1:9" x14ac:dyDescent="0.35">
      <c r="A34" s="3" t="s">
        <v>85</v>
      </c>
      <c r="B34" s="4" t="s">
        <v>86</v>
      </c>
      <c r="C34" s="36">
        <v>41334</v>
      </c>
      <c r="D34" s="3">
        <f t="shared" si="0"/>
        <v>2013</v>
      </c>
      <c r="E34" s="19">
        <v>2.1942719407260389</v>
      </c>
      <c r="F34" s="19">
        <v>2.2898091815218465E-2</v>
      </c>
      <c r="G34" s="19">
        <v>3.6048153242473582E-2</v>
      </c>
      <c r="H34" s="19">
        <f t="shared" si="1"/>
        <v>1.0435393804307575E-2</v>
      </c>
      <c r="I34" s="19">
        <f t="shared" si="2"/>
        <v>1.6428297957702544E-2</v>
      </c>
    </row>
    <row r="35" spans="1:9" x14ac:dyDescent="0.35">
      <c r="A35" s="3" t="s">
        <v>85</v>
      </c>
      <c r="B35" s="4" t="s">
        <v>87</v>
      </c>
      <c r="C35" s="36">
        <v>41334</v>
      </c>
      <c r="D35" s="3">
        <f t="shared" si="0"/>
        <v>2013</v>
      </c>
      <c r="E35" s="19">
        <v>2.1942719407260389</v>
      </c>
      <c r="F35" s="19">
        <v>2.9005540242611396E-2</v>
      </c>
      <c r="G35" s="19">
        <v>4.5663025896833409E-2</v>
      </c>
      <c r="H35" s="19">
        <f t="shared" si="1"/>
        <v>1.3218753657768629E-2</v>
      </c>
      <c r="I35" s="19">
        <f t="shared" si="2"/>
        <v>2.0810103364729014E-2</v>
      </c>
    </row>
    <row r="36" spans="1:9" x14ac:dyDescent="0.35">
      <c r="A36" s="3" t="s">
        <v>85</v>
      </c>
      <c r="B36" s="4" t="s">
        <v>86</v>
      </c>
      <c r="C36" s="36">
        <v>42979</v>
      </c>
      <c r="D36" s="3">
        <f t="shared" si="0"/>
        <v>2018</v>
      </c>
      <c r="E36" s="19">
        <v>1.3913779435349118</v>
      </c>
      <c r="F36" s="19">
        <v>3.7468132594674422E-2</v>
      </c>
      <c r="G36" s="19">
        <v>5.2210179809379191E-2</v>
      </c>
      <c r="H36" s="19">
        <f t="shared" si="1"/>
        <v>2.6928795852177664E-2</v>
      </c>
      <c r="I36" s="19">
        <f t="shared" si="2"/>
        <v>3.752408182979735E-2</v>
      </c>
    </row>
    <row r="37" spans="1:9" x14ac:dyDescent="0.35">
      <c r="A37" s="3" t="s">
        <v>85</v>
      </c>
      <c r="B37" s="4" t="s">
        <v>64</v>
      </c>
      <c r="C37" s="36">
        <v>42979</v>
      </c>
      <c r="D37" s="3">
        <f t="shared" si="0"/>
        <v>2018</v>
      </c>
      <c r="E37" s="19">
        <v>1.3913779435349118</v>
      </c>
      <c r="F37" s="19">
        <v>8.430329833801745E-3</v>
      </c>
      <c r="G37" s="19">
        <v>1.1747290457110317E-2</v>
      </c>
      <c r="H37" s="19">
        <f t="shared" si="1"/>
        <v>6.0589790667399746E-3</v>
      </c>
      <c r="I37" s="19">
        <f t="shared" si="2"/>
        <v>8.4429184117044039E-3</v>
      </c>
    </row>
    <row r="38" spans="1:9" x14ac:dyDescent="0.35">
      <c r="A38" s="3" t="s">
        <v>85</v>
      </c>
      <c r="B38" s="4" t="s">
        <v>86</v>
      </c>
      <c r="C38" s="36">
        <v>43770</v>
      </c>
      <c r="D38" s="3">
        <f t="shared" si="0"/>
        <v>2020</v>
      </c>
      <c r="E38" s="19">
        <v>1.1693239238142432</v>
      </c>
      <c r="F38" s="19">
        <v>2.8487464024674829E-2</v>
      </c>
      <c r="G38" s="19">
        <v>4.0679581831541162E-2</v>
      </c>
      <c r="H38" s="19">
        <f t="shared" si="1"/>
        <v>2.4362337453723643E-2</v>
      </c>
      <c r="I38" s="19">
        <f t="shared" si="2"/>
        <v>3.4788975922811487E-2</v>
      </c>
    </row>
    <row r="39" spans="1:9" x14ac:dyDescent="0.35">
      <c r="E39" s="19"/>
      <c r="F39" s="19"/>
      <c r="G39" s="19"/>
      <c r="H39" s="19"/>
      <c r="I39" s="19"/>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B334719-5F65-4BC9-A45B-D2251CACE056}">
  <sheetPr>
    <tabColor theme="9" tint="0.79998168889431442"/>
  </sheetPr>
  <dimension ref="A1:J38"/>
  <sheetViews>
    <sheetView workbookViewId="0">
      <pane xSplit="3" ySplit="1" topLeftCell="D2" activePane="bottomRight" state="frozen"/>
      <selection pane="topRight" activeCell="D1" sqref="D1"/>
      <selection pane="bottomLeft" activeCell="A2" sqref="A2"/>
      <selection pane="bottomRight" activeCell="J12" sqref="J12"/>
    </sheetView>
  </sheetViews>
  <sheetFormatPr defaultRowHeight="14.5" x14ac:dyDescent="0.35"/>
  <cols>
    <col min="1" max="2" width="20.6328125" style="3" customWidth="1"/>
    <col min="3" max="3" width="17.6328125" style="3" customWidth="1"/>
    <col min="4" max="4" width="15.81640625" style="3" customWidth="1"/>
    <col min="5" max="5" width="13.453125" style="3" customWidth="1"/>
    <col min="6" max="6" width="17" style="3" customWidth="1"/>
    <col min="7" max="7" width="15.6328125" style="3" customWidth="1"/>
    <col min="8" max="8" width="13.6328125" style="3" customWidth="1"/>
    <col min="9" max="9" width="11.453125" style="3" customWidth="1"/>
    <col min="10" max="10" width="14.6328125" style="3" customWidth="1"/>
    <col min="11" max="16384" width="8.7265625" style="3"/>
  </cols>
  <sheetData>
    <row r="1" spans="1:10" ht="40" customHeight="1" x14ac:dyDescent="0.35">
      <c r="A1" s="16" t="s">
        <v>50</v>
      </c>
      <c r="B1" s="6" t="s">
        <v>51</v>
      </c>
      <c r="C1" s="17" t="s">
        <v>52</v>
      </c>
      <c r="D1" s="6" t="s">
        <v>113</v>
      </c>
      <c r="E1" s="6" t="s">
        <v>114</v>
      </c>
      <c r="F1" s="6" t="s">
        <v>115</v>
      </c>
      <c r="G1" s="6" t="s">
        <v>116</v>
      </c>
      <c r="H1" s="6" t="s">
        <v>117</v>
      </c>
      <c r="I1" s="6" t="s">
        <v>118</v>
      </c>
      <c r="J1" s="6" t="s">
        <v>119</v>
      </c>
    </row>
    <row r="2" spans="1:10" x14ac:dyDescent="0.35">
      <c r="A2" s="3" t="s">
        <v>62</v>
      </c>
      <c r="B2" s="4" t="s">
        <v>36</v>
      </c>
      <c r="C2" s="18">
        <v>42401</v>
      </c>
      <c r="D2" s="37">
        <v>57401.066226893934</v>
      </c>
      <c r="E2" s="3">
        <v>3</v>
      </c>
      <c r="F2" s="19">
        <v>3.1449355305888442</v>
      </c>
      <c r="G2" s="19" cm="1">
        <f t="array" ref="G2">MIN(D2,_xlfn.XLOOKUP(YEAR($C2)&amp;"Real GDP per capita (US$)",aus_data!$A:$A&amp;aus_data!$B:$B,aus_data!$D:$D))/MAX(D2,_xlfn.XLOOKUP(YEAR($C2)&amp;"Real GDP per capita (US$)",aus_data!$A:$A&amp;aus_data!$B:$B,aus_data!$D:$D))</f>
        <v>1</v>
      </c>
      <c r="H2" s="19" cm="1">
        <f t="array" ref="H2">MIN(E2,_xlfn.XLOOKUP(YEAR($C2)&amp;"# of MNOs",aus_data!$A:$A&amp;aus_data!$B:$B,aus_data!$D:$D))/MAX(E2,_xlfn.XLOOKUP(YEAR($C2)&amp;"# of MNOs",aus_data!$A:$A&amp;aus_data!$B:$B,aus_data!$D:$D))</f>
        <v>1</v>
      </c>
      <c r="I2" s="19" cm="1">
        <f t="array" ref="I2">MIN(F2,_xlfn.XLOOKUP(YEAR($C2)&amp;"Population density",aus_data!$A:$A&amp;aus_data!$B:$B,aus_data!$D:$D))/MAX(F2,_xlfn.XLOOKUP(YEAR($C2)&amp;"Population density",aus_data!$A:$A&amp;aus_data!$B:$B,aus_data!$D:$D))</f>
        <v>1</v>
      </c>
      <c r="J2" s="19">
        <f>AVERAGE($G2:$I2)</f>
        <v>1</v>
      </c>
    </row>
    <row r="3" spans="1:10" x14ac:dyDescent="0.35">
      <c r="A3" s="3" t="s">
        <v>63</v>
      </c>
      <c r="B3" s="4" t="s">
        <v>36</v>
      </c>
      <c r="C3" s="18">
        <v>44713</v>
      </c>
      <c r="D3" s="37">
        <v>44583.576771176799</v>
      </c>
      <c r="E3" s="3">
        <v>4</v>
      </c>
      <c r="F3" s="19">
        <v>383.03305568308519</v>
      </c>
      <c r="G3" s="19" cm="1">
        <f t="array" ref="G3">MIN(D3,_xlfn.XLOOKUP(YEAR($C3)&amp;"Real GDP per capita (US$)",aus_data!$A:$A&amp;aus_data!$B:$B,aus_data!$D:$D))/MAX(D3,_xlfn.XLOOKUP(YEAR($C3)&amp;"Real GDP per capita (US$)",aus_data!$A:$A&amp;aus_data!$B:$B,aus_data!$D:$D))</f>
        <v>0.73076081438632612</v>
      </c>
      <c r="H3" s="19" cm="1">
        <f t="array" ref="H3">MIN(E3,_xlfn.XLOOKUP(YEAR($C3)&amp;"# of MNOs",aus_data!$A:$A&amp;aus_data!$B:$B,aus_data!$D:$D))/MAX(E3,_xlfn.XLOOKUP(YEAR($C3)&amp;"# of MNOs",aus_data!$A:$A&amp;aus_data!$B:$B,aus_data!$D:$D))</f>
        <v>0.75</v>
      </c>
      <c r="I3" s="19" cm="1">
        <f t="array" ref="I3">MIN(F3,_xlfn.XLOOKUP(YEAR($C3)&amp;"Population density",aus_data!$A:$A&amp;aus_data!$B:$B,aus_data!$D:$D))/MAX(F3,_xlfn.XLOOKUP(YEAR($C3)&amp;"Population density",aus_data!$A:$A&amp;aus_data!$B:$B,aus_data!$D:$D))</f>
        <v>8.8295208639557945E-3</v>
      </c>
      <c r="J3" s="19">
        <f t="shared" ref="J3:J38" si="0">AVERAGE($G3:$I3)</f>
        <v>0.49653011175009393</v>
      </c>
    </row>
    <row r="4" spans="1:10" x14ac:dyDescent="0.35">
      <c r="A4" s="3" t="s">
        <v>63</v>
      </c>
      <c r="B4" s="4" t="s">
        <v>64</v>
      </c>
      <c r="C4" s="18">
        <v>44713</v>
      </c>
      <c r="D4" s="37">
        <v>44583.576771176799</v>
      </c>
      <c r="E4" s="3">
        <v>4</v>
      </c>
      <c r="F4" s="19">
        <v>383.03305568308519</v>
      </c>
      <c r="G4" s="19" cm="1">
        <f t="array" ref="G4">MIN(D4,_xlfn.XLOOKUP(YEAR($C4)&amp;"Real GDP per capita (US$)",aus_data!$A:$A&amp;aus_data!$B:$B,aus_data!$D:$D))/MAX(D4,_xlfn.XLOOKUP(YEAR($C4)&amp;"Real GDP per capita (US$)",aus_data!$A:$A&amp;aus_data!$B:$B,aus_data!$D:$D))</f>
        <v>0.73076081438632612</v>
      </c>
      <c r="H4" s="19" cm="1">
        <f t="array" ref="H4">MIN(E4,_xlfn.XLOOKUP(YEAR($C4)&amp;"# of MNOs",aus_data!$A:$A&amp;aus_data!$B:$B,aus_data!$D:$D))/MAX(E4,_xlfn.XLOOKUP(YEAR($C4)&amp;"# of MNOs",aus_data!$A:$A&amp;aus_data!$B:$B,aus_data!$D:$D))</f>
        <v>0.75</v>
      </c>
      <c r="I4" s="19" cm="1">
        <f t="array" ref="I4">MIN(F4,_xlfn.XLOOKUP(YEAR($C4)&amp;"Population density",aus_data!$A:$A&amp;aus_data!$B:$B,aus_data!$D:$D))/MAX(F4,_xlfn.XLOOKUP(YEAR($C4)&amp;"Population density",aus_data!$A:$A&amp;aus_data!$B:$B,aus_data!$D:$D))</f>
        <v>8.8295208639557945E-3</v>
      </c>
      <c r="J4" s="19">
        <f t="shared" si="0"/>
        <v>0.49653011175009393</v>
      </c>
    </row>
    <row r="5" spans="1:10" x14ac:dyDescent="0.35">
      <c r="A5" s="3" t="s">
        <v>65</v>
      </c>
      <c r="B5" s="4" t="s">
        <v>37</v>
      </c>
      <c r="C5" s="18">
        <v>42156</v>
      </c>
      <c r="D5" s="37">
        <v>43594.194104539434</v>
      </c>
      <c r="E5" s="3">
        <v>3</v>
      </c>
      <c r="F5" s="19">
        <v>3.9823924582765886</v>
      </c>
      <c r="G5" s="19" cm="1">
        <f t="array" ref="G5">MIN(D5,_xlfn.XLOOKUP(YEAR($C5)&amp;"Real GDP per capita (US$)",aus_data!$A:$A&amp;aus_data!$B:$B,aus_data!$D:$D))/MAX(D5,_xlfn.XLOOKUP(YEAR($C5)&amp;"Real GDP per capita (US$)",aus_data!$A:$A&amp;aus_data!$B:$B,aus_data!$D:$D))</f>
        <v>0.76832819960190357</v>
      </c>
      <c r="H5" s="19" cm="1">
        <f t="array" ref="H5">MIN(E5,_xlfn.XLOOKUP(YEAR($C5)&amp;"# of MNOs",aus_data!$A:$A&amp;aus_data!$B:$B,aus_data!$D:$D))/MAX(E5,_xlfn.XLOOKUP(YEAR($C5)&amp;"# of MNOs",aus_data!$A:$A&amp;aus_data!$B:$B,aus_data!$D:$D))</f>
        <v>1</v>
      </c>
      <c r="I5" s="19" cm="1">
        <f t="array" ref="I5">MIN(F5,_xlfn.XLOOKUP(YEAR($C5)&amp;"Population density",aus_data!$A:$A&amp;aus_data!$B:$B,aus_data!$D:$D))/MAX(F5,_xlfn.XLOOKUP(YEAR($C5)&amp;"Population density",aus_data!$A:$A&amp;aus_data!$B:$B,aus_data!$D:$D))</f>
        <v>0.7784548180441333</v>
      </c>
      <c r="J5" s="19">
        <f t="shared" si="0"/>
        <v>0.84892767254867907</v>
      </c>
    </row>
    <row r="6" spans="1:10" x14ac:dyDescent="0.35">
      <c r="A6" s="3" t="s">
        <v>66</v>
      </c>
      <c r="B6" s="4" t="s">
        <v>36</v>
      </c>
      <c r="C6" s="18">
        <v>44986</v>
      </c>
      <c r="D6" s="37">
        <v>17147.166022662281</v>
      </c>
      <c r="E6" s="3">
        <v>3</v>
      </c>
      <c r="F6" s="19">
        <v>68.972230164403143</v>
      </c>
      <c r="G6" s="19" cm="1">
        <f t="array" ref="G6">MIN(D6,_xlfn.XLOOKUP(YEAR($C6)&amp;"Real GDP per capita (US$)",aus_data!$A:$A&amp;aus_data!$B:$B,aus_data!$D:$D))/MAX(D6,_xlfn.XLOOKUP(YEAR($C6)&amp;"Real GDP per capita (US$)",aus_data!$A:$A&amp;aus_data!$B:$B,aus_data!$D:$D))</f>
        <v>0.27843577236952416</v>
      </c>
      <c r="H6" s="19" cm="1">
        <f t="array" ref="H6">MIN(E6,_xlfn.XLOOKUP(YEAR($C6)&amp;"# of MNOs",aus_data!$A:$A&amp;aus_data!$B:$B,aus_data!$D:$D))/MAX(E6,_xlfn.XLOOKUP(YEAR($C6)&amp;"# of MNOs",aus_data!$A:$A&amp;aus_data!$B:$B,aus_data!$D:$D))</f>
        <v>1</v>
      </c>
      <c r="I6" s="19" cm="1">
        <f t="array" ref="I6">MIN(F6,_xlfn.XLOOKUP(YEAR($C6)&amp;"Population density",aus_data!$A:$A&amp;aus_data!$B:$B,aus_data!$D:$D))/MAX(F6,_xlfn.XLOOKUP(YEAR($C6)&amp;"Population density",aus_data!$A:$A&amp;aus_data!$B:$B,aus_data!$D:$D))</f>
        <v>5.0249105363011713E-2</v>
      </c>
      <c r="J6" s="19">
        <f t="shared" si="0"/>
        <v>0.4428949592441786</v>
      </c>
    </row>
    <row r="7" spans="1:10" x14ac:dyDescent="0.35">
      <c r="A7" s="3" t="s">
        <v>66</v>
      </c>
      <c r="B7" s="4" t="s">
        <v>64</v>
      </c>
      <c r="C7" s="18">
        <v>44986</v>
      </c>
      <c r="D7" s="37">
        <v>17147.166022662281</v>
      </c>
      <c r="E7" s="3">
        <v>3</v>
      </c>
      <c r="F7" s="19">
        <v>68.972230164403143</v>
      </c>
      <c r="G7" s="19" cm="1">
        <f t="array" ref="G7">MIN(D7,_xlfn.XLOOKUP(YEAR($C7)&amp;"Real GDP per capita (US$)",aus_data!$A:$A&amp;aus_data!$B:$B,aus_data!$D:$D))/MAX(D7,_xlfn.XLOOKUP(YEAR($C7)&amp;"Real GDP per capita (US$)",aus_data!$A:$A&amp;aus_data!$B:$B,aus_data!$D:$D))</f>
        <v>0.27843577236952416</v>
      </c>
      <c r="H7" s="19" cm="1">
        <f t="array" ref="H7">MIN(E7,_xlfn.XLOOKUP(YEAR($C7)&amp;"# of MNOs",aus_data!$A:$A&amp;aus_data!$B:$B,aus_data!$D:$D))/MAX(E7,_xlfn.XLOOKUP(YEAR($C7)&amp;"# of MNOs",aus_data!$A:$A&amp;aus_data!$B:$B,aus_data!$D:$D))</f>
        <v>1</v>
      </c>
      <c r="I7" s="19" cm="1">
        <f t="array" ref="I7">MIN(F7,_xlfn.XLOOKUP(YEAR($C7)&amp;"Population density",aus_data!$A:$A&amp;aus_data!$B:$B,aus_data!$D:$D))/MAX(F7,_xlfn.XLOOKUP(YEAR($C7)&amp;"Population density",aus_data!$A:$A&amp;aus_data!$B:$B,aus_data!$D:$D))</f>
        <v>5.0249105363011713E-2</v>
      </c>
      <c r="J7" s="19">
        <f t="shared" si="0"/>
        <v>0.4428949592441786</v>
      </c>
    </row>
    <row r="8" spans="1:10" x14ac:dyDescent="0.35">
      <c r="A8" s="3" t="s">
        <v>67</v>
      </c>
      <c r="B8" s="4" t="s">
        <v>36</v>
      </c>
      <c r="C8" s="18">
        <v>41579</v>
      </c>
      <c r="D8" s="37">
        <v>16759.78086543773</v>
      </c>
      <c r="E8" s="3">
        <v>3</v>
      </c>
      <c r="F8" s="19">
        <v>136.15995855995857</v>
      </c>
      <c r="G8" s="19" cm="1">
        <f t="array" ref="G8">MIN(D8,_xlfn.XLOOKUP(YEAR($C8)&amp;"Real GDP per capita (US$)",aus_data!$A:$A&amp;aus_data!$B:$B,aus_data!$D:$D))/MAX(D8,_xlfn.XLOOKUP(YEAR($C8)&amp;"Real GDP per capita (US$)",aus_data!$A:$A&amp;aus_data!$B:$B,aus_data!$D:$D))</f>
        <v>0.30074245678015987</v>
      </c>
      <c r="H8" s="19" cm="1">
        <f t="array" ref="H8">MIN(E8,_xlfn.XLOOKUP(YEAR($C8)&amp;"# of MNOs",aus_data!$A:$A&amp;aus_data!$B:$B,aus_data!$D:$D))/MAX(E8,_xlfn.XLOOKUP(YEAR($C8)&amp;"# of MNOs",aus_data!$A:$A&amp;aus_data!$B:$B,aus_data!$D:$D))</f>
        <v>1</v>
      </c>
      <c r="I8" s="19" cm="1">
        <f t="array" ref="I8">MIN(F8,_xlfn.XLOOKUP(YEAR($C8)&amp;"Population density",aus_data!$A:$A&amp;aus_data!$B:$B,aus_data!$D:$D))/MAX(F8,_xlfn.XLOOKUP(YEAR($C8)&amp;"Population density",aus_data!$A:$A&amp;aus_data!$B:$B,aus_data!$D:$D))</f>
        <v>2.2110564353850129E-2</v>
      </c>
      <c r="J8" s="19">
        <f t="shared" si="0"/>
        <v>0.44095100704467005</v>
      </c>
    </row>
    <row r="9" spans="1:10" x14ac:dyDescent="0.35">
      <c r="A9" s="3" t="s">
        <v>67</v>
      </c>
      <c r="B9" s="4" t="s">
        <v>36</v>
      </c>
      <c r="C9" s="18">
        <v>42522</v>
      </c>
      <c r="D9" s="37">
        <v>18359.097811740547</v>
      </c>
      <c r="E9" s="3">
        <v>3</v>
      </c>
      <c r="F9" s="19">
        <v>136.85185856754308</v>
      </c>
      <c r="G9" s="19" cm="1">
        <f t="array" ref="G9">MIN(D9,_xlfn.XLOOKUP(YEAR($C9)&amp;"Real GDP per capita (US$)",aus_data!$A:$A&amp;aus_data!$B:$B,aus_data!$D:$D))/MAX(D9,_xlfn.XLOOKUP(YEAR($C9)&amp;"Real GDP per capita (US$)",aus_data!$A:$A&amp;aus_data!$B:$B,aus_data!$D:$D))</f>
        <v>0.31983896848136972</v>
      </c>
      <c r="H9" s="19" cm="1">
        <f t="array" ref="H9">MIN(E9,_xlfn.XLOOKUP(YEAR($C9)&amp;"# of MNOs",aus_data!$A:$A&amp;aus_data!$B:$B,aus_data!$D:$D))/MAX(E9,_xlfn.XLOOKUP(YEAR($C9)&amp;"# of MNOs",aus_data!$A:$A&amp;aus_data!$B:$B,aus_data!$D:$D))</f>
        <v>1</v>
      </c>
      <c r="I9" s="19" cm="1">
        <f t="array" ref="I9">MIN(F9,_xlfn.XLOOKUP(YEAR($C9)&amp;"Population density",aus_data!$A:$A&amp;aus_data!$B:$B,aus_data!$D:$D))/MAX(F9,_xlfn.XLOOKUP(YEAR($C9)&amp;"Population density",aus_data!$A:$A&amp;aus_data!$B:$B,aus_data!$D:$D))</f>
        <v>2.2980583263592761E-2</v>
      </c>
      <c r="J9" s="19">
        <f t="shared" si="0"/>
        <v>0.44760651724832079</v>
      </c>
    </row>
    <row r="10" spans="1:10" x14ac:dyDescent="0.35">
      <c r="A10" s="3" t="s">
        <v>68</v>
      </c>
      <c r="B10" s="4" t="s">
        <v>69</v>
      </c>
      <c r="C10" s="18">
        <v>42614</v>
      </c>
      <c r="D10" s="37">
        <v>54300.203953089287</v>
      </c>
      <c r="E10" s="3">
        <v>3</v>
      </c>
      <c r="F10" s="19">
        <v>143.20025000000001</v>
      </c>
      <c r="G10" s="19" cm="1">
        <f t="array" ref="G10">MIN(D10,_xlfn.XLOOKUP(YEAR($C10)&amp;"Real GDP per capita (US$)",aus_data!$A:$A&amp;aus_data!$B:$B,aus_data!$D:$D))/MAX(D10,_xlfn.XLOOKUP(YEAR($C10)&amp;"Real GDP per capita (US$)",aus_data!$A:$A&amp;aus_data!$B:$B,aus_data!$D:$D))</f>
        <v>0.94597901262761197</v>
      </c>
      <c r="H10" s="19" cm="1">
        <f t="array" ref="H10">MIN(E10,_xlfn.XLOOKUP(YEAR($C10)&amp;"# of MNOs",aus_data!$A:$A&amp;aus_data!$B:$B,aus_data!$D:$D))/MAX(E10,_xlfn.XLOOKUP(YEAR($C10)&amp;"# of MNOs",aus_data!$A:$A&amp;aus_data!$B:$B,aus_data!$D:$D))</f>
        <v>1</v>
      </c>
      <c r="I10" s="19" cm="1">
        <f t="array" ref="I10">MIN(F10,_xlfn.XLOOKUP(YEAR($C10)&amp;"Population density",aus_data!$A:$A&amp;aus_data!$B:$B,aus_data!$D:$D))/MAX(F10,_xlfn.XLOOKUP(YEAR($C10)&amp;"Population density",aus_data!$A:$A&amp;aus_data!$B:$B,aus_data!$D:$D))</f>
        <v>2.1961801956273428E-2</v>
      </c>
      <c r="J10" s="19">
        <f t="shared" si="0"/>
        <v>0.65598027152796179</v>
      </c>
    </row>
    <row r="11" spans="1:10" x14ac:dyDescent="0.35">
      <c r="A11" s="3" t="s">
        <v>70</v>
      </c>
      <c r="B11" s="4" t="s">
        <v>64</v>
      </c>
      <c r="C11" s="18">
        <v>40299</v>
      </c>
      <c r="D11" s="37">
        <v>35578.196795881391</v>
      </c>
      <c r="E11" s="3">
        <v>4</v>
      </c>
      <c r="F11" s="19">
        <v>118.75697142032702</v>
      </c>
      <c r="G11" s="19" cm="1">
        <f t="array" ref="G11">MIN(D11,_xlfn.XLOOKUP(YEAR($C11)&amp;"Real GDP per capita (US$)",aus_data!$A:$A&amp;aus_data!$B:$B,aus_data!$D:$D))/MAX(D11,_xlfn.XLOOKUP(YEAR($C11)&amp;"Real GDP per capita (US$)",aus_data!$A:$A&amp;aus_data!$B:$B,aus_data!$D:$D))</f>
        <v>0.66403481399624553</v>
      </c>
      <c r="H11" s="19" cm="1">
        <f t="array" ref="H11">MIN(E11,_xlfn.XLOOKUP(YEAR($C11)&amp;"# of MNOs",aus_data!$A:$A&amp;aus_data!$B:$B,aus_data!$D:$D))/MAX(E11,_xlfn.XLOOKUP(YEAR($C11)&amp;"# of MNOs",aus_data!$A:$A&amp;aus_data!$B:$B,aus_data!$D:$D))</f>
        <v>0.75</v>
      </c>
      <c r="I11" s="19" cm="1">
        <f t="array" ref="I11">MIN(F11,_xlfn.XLOOKUP(YEAR($C11)&amp;"Population density",aus_data!$A:$A&amp;aus_data!$B:$B,aus_data!$D:$D))/MAX(F11,_xlfn.XLOOKUP(YEAR($C11)&amp;"Population density",aus_data!$A:$A&amp;aus_data!$B:$B,aus_data!$D:$D))</f>
        <v>2.4148970369641226E-2</v>
      </c>
      <c r="J11" s="19">
        <f t="shared" si="0"/>
        <v>0.47939459478862889</v>
      </c>
    </row>
    <row r="12" spans="1:10" x14ac:dyDescent="0.35">
      <c r="A12" s="3" t="s">
        <v>71</v>
      </c>
      <c r="B12" s="4" t="s">
        <v>72</v>
      </c>
      <c r="C12" s="18">
        <v>42156</v>
      </c>
      <c r="D12" s="37">
        <v>41911.010985105371</v>
      </c>
      <c r="E12" s="3">
        <v>3</v>
      </c>
      <c r="F12" s="19">
        <v>234.1529868715244</v>
      </c>
      <c r="G12" s="19" cm="1">
        <f t="array" ref="G12">MIN(D12,_xlfn.XLOOKUP(YEAR($C12)&amp;"Real GDP per capita (US$)",aus_data!$A:$A&amp;aus_data!$B:$B,aus_data!$D:$D))/MAX(D12,_xlfn.XLOOKUP(YEAR($C12)&amp;"Real GDP per capita (US$)",aus_data!$A:$A&amp;aus_data!$B:$B,aus_data!$D:$D))</f>
        <v>0.73866284892117084</v>
      </c>
      <c r="H12" s="19" cm="1">
        <f t="array" ref="H12">MIN(E12,_xlfn.XLOOKUP(YEAR($C12)&amp;"# of MNOs",aus_data!$A:$A&amp;aus_data!$B:$B,aus_data!$D:$D))/MAX(E12,_xlfn.XLOOKUP(YEAR($C12)&amp;"# of MNOs",aus_data!$A:$A&amp;aus_data!$B:$B,aus_data!$D:$D))</f>
        <v>1</v>
      </c>
      <c r="I12" s="19" cm="1">
        <f t="array" ref="I12">MIN(F12,_xlfn.XLOOKUP(YEAR($C12)&amp;"Population density",aus_data!$A:$A&amp;aus_data!$B:$B,aus_data!$D:$D))/MAX(F12,_xlfn.XLOOKUP(YEAR($C12)&amp;"Population density",aus_data!$A:$A&amp;aus_data!$B:$B,aus_data!$D:$D))</f>
        <v>1.3239688452870378E-2</v>
      </c>
      <c r="J12" s="19">
        <f t="shared" si="0"/>
        <v>0.5839675124580137</v>
      </c>
    </row>
    <row r="13" spans="1:10" x14ac:dyDescent="0.35">
      <c r="A13" s="3" t="s">
        <v>71</v>
      </c>
      <c r="B13" s="4" t="s">
        <v>69</v>
      </c>
      <c r="C13" s="18">
        <v>42156</v>
      </c>
      <c r="D13" s="37">
        <v>41911.010985105371</v>
      </c>
      <c r="E13" s="3">
        <v>3</v>
      </c>
      <c r="F13" s="19">
        <v>234.1529868715244</v>
      </c>
      <c r="G13" s="19" cm="1">
        <f t="array" ref="G13">MIN(D13,_xlfn.XLOOKUP(YEAR($C13)&amp;"Real GDP per capita (US$)",aus_data!$A:$A&amp;aus_data!$B:$B,aus_data!$D:$D))/MAX(D13,_xlfn.XLOOKUP(YEAR($C13)&amp;"Real GDP per capita (US$)",aus_data!$A:$A&amp;aus_data!$B:$B,aus_data!$D:$D))</f>
        <v>0.73866284892117084</v>
      </c>
      <c r="H13" s="19" cm="1">
        <f t="array" ref="H13">MIN(E13,_xlfn.XLOOKUP(YEAR($C13)&amp;"# of MNOs",aus_data!$A:$A&amp;aus_data!$B:$B,aus_data!$D:$D))/MAX(E13,_xlfn.XLOOKUP(YEAR($C13)&amp;"# of MNOs",aus_data!$A:$A&amp;aus_data!$B:$B,aus_data!$D:$D))</f>
        <v>1</v>
      </c>
      <c r="I13" s="19" cm="1">
        <f t="array" ref="I13">MIN(F13,_xlfn.XLOOKUP(YEAR($C13)&amp;"Population density",aus_data!$A:$A&amp;aus_data!$B:$B,aus_data!$D:$D))/MAX(F13,_xlfn.XLOOKUP(YEAR($C13)&amp;"Population density",aus_data!$A:$A&amp;aus_data!$B:$B,aus_data!$D:$D))</f>
        <v>1.3239688452870378E-2</v>
      </c>
      <c r="J13" s="19">
        <f t="shared" si="0"/>
        <v>0.5839675124580137</v>
      </c>
    </row>
    <row r="14" spans="1:10" x14ac:dyDescent="0.35">
      <c r="A14" s="3" t="s">
        <v>71</v>
      </c>
      <c r="B14" s="4" t="s">
        <v>64</v>
      </c>
      <c r="C14" s="18">
        <v>43617</v>
      </c>
      <c r="D14" s="37">
        <v>44207.632051951376</v>
      </c>
      <c r="E14" s="3">
        <v>3</v>
      </c>
      <c r="F14" s="19">
        <v>237.82295429176565</v>
      </c>
      <c r="G14" s="19" cm="1">
        <f t="array" ref="G14">MIN(D14,_xlfn.XLOOKUP(YEAR($C14)&amp;"Real GDP per capita (US$)",aus_data!$A:$A&amp;aus_data!$B:$B,aus_data!$D:$D))/MAX(D14,_xlfn.XLOOKUP(YEAR($C14)&amp;"Real GDP per capita (US$)",aus_data!$A:$A&amp;aus_data!$B:$B,aus_data!$D:$D))</f>
        <v>0.75023897973564802</v>
      </c>
      <c r="H14" s="19" cm="1">
        <f t="array" ref="H14">MIN(E14,_xlfn.XLOOKUP(YEAR($C14)&amp;"# of MNOs",aus_data!$A:$A&amp;aus_data!$B:$B,aus_data!$D:$D))/MAX(E14,_xlfn.XLOOKUP(YEAR($C14)&amp;"# of MNOs",aus_data!$A:$A&amp;aus_data!$B:$B,aus_data!$D:$D))</f>
        <v>1</v>
      </c>
      <c r="I14" s="19" cm="1">
        <f t="array" ref="I14">MIN(F14,_xlfn.XLOOKUP(YEAR($C14)&amp;"Population density",aus_data!$A:$A&amp;aus_data!$B:$B,aus_data!$D:$D))/MAX(F14,_xlfn.XLOOKUP(YEAR($C14)&amp;"Population density",aus_data!$A:$A&amp;aus_data!$B:$B,aus_data!$D:$D))</f>
        <v>1.3849170162482828E-2</v>
      </c>
      <c r="J14" s="19">
        <f t="shared" si="0"/>
        <v>0.58802938329937693</v>
      </c>
    </row>
    <row r="15" spans="1:10" x14ac:dyDescent="0.35">
      <c r="A15" s="3" t="s">
        <v>73</v>
      </c>
      <c r="B15" s="4" t="s">
        <v>37</v>
      </c>
      <c r="C15" s="18">
        <v>44166</v>
      </c>
      <c r="D15" s="37">
        <v>17486.951380041486</v>
      </c>
      <c r="E15" s="3">
        <v>3</v>
      </c>
      <c r="F15" s="19">
        <v>82.999216446858028</v>
      </c>
      <c r="G15" s="19" cm="1">
        <f t="array" ref="G15">MIN(D15,_xlfn.XLOOKUP(YEAR($C15)&amp;"Real GDP per capita (US$)",aus_data!$A:$A&amp;aus_data!$B:$B,aus_data!$D:$D))/MAX(D15,_xlfn.XLOOKUP(YEAR($C15)&amp;"Real GDP per capita (US$)",aus_data!$A:$A&amp;aus_data!$B:$B,aus_data!$D:$D))</f>
        <v>0.30081041725411739</v>
      </c>
      <c r="H15" s="19" cm="1">
        <f t="array" ref="H15">MIN(E15,_xlfn.XLOOKUP(YEAR($C15)&amp;"# of MNOs",aus_data!$A:$A&amp;aus_data!$B:$B,aus_data!$D:$D))/MAX(E15,_xlfn.XLOOKUP(YEAR($C15)&amp;"# of MNOs",aus_data!$A:$A&amp;aus_data!$B:$B,aus_data!$D:$D))</f>
        <v>1</v>
      </c>
      <c r="I15" s="19" cm="1">
        <f t="array" ref="I15">MIN(F15,_xlfn.XLOOKUP(YEAR($C15)&amp;"Population density",aus_data!$A:$A&amp;aus_data!$B:$B,aus_data!$D:$D))/MAX(F15,_xlfn.XLOOKUP(YEAR($C15)&amp;"Population density",aus_data!$A:$A&amp;aus_data!$B:$B,aus_data!$D:$D))</f>
        <v>4.0175402781579016E-2</v>
      </c>
      <c r="J15" s="19">
        <f t="shared" si="0"/>
        <v>0.44699527334523209</v>
      </c>
    </row>
    <row r="16" spans="1:10" x14ac:dyDescent="0.35">
      <c r="A16" s="3" t="s">
        <v>74</v>
      </c>
      <c r="B16" s="4" t="s">
        <v>36</v>
      </c>
      <c r="C16" s="18">
        <v>41883</v>
      </c>
      <c r="D16" s="37">
        <v>12233.299367171994</v>
      </c>
      <c r="E16" s="3">
        <v>4</v>
      </c>
      <c r="F16" s="19">
        <v>108.11382862152092</v>
      </c>
      <c r="G16" s="19" cm="1">
        <f t="array" ref="G16">MIN(D16,_xlfn.XLOOKUP(YEAR($C16)&amp;"Real GDP per capita (US$)",aus_data!$A:$A&amp;aus_data!$B:$B,aus_data!$D:$D))/MAX(D16,_xlfn.XLOOKUP(YEAR($C16)&amp;"Real GDP per capita (US$)",aus_data!$A:$A&amp;aus_data!$B:$B,aus_data!$D:$D))</f>
        <v>0.21718028735523884</v>
      </c>
      <c r="H16" s="19" cm="1">
        <f t="array" ref="H16">MIN(E16,_xlfn.XLOOKUP(YEAR($C16)&amp;"# of MNOs",aus_data!$A:$A&amp;aus_data!$B:$B,aus_data!$D:$D))/MAX(E16,_xlfn.XLOOKUP(YEAR($C16)&amp;"# of MNOs",aus_data!$A:$A&amp;aus_data!$B:$B,aus_data!$D:$D))</f>
        <v>0.75</v>
      </c>
      <c r="I16" s="19" cm="1">
        <f t="array" ref="I16">MIN(F16,_xlfn.XLOOKUP(YEAR($C16)&amp;"Population density",aus_data!$A:$A&amp;aus_data!$B:$B,aus_data!$D:$D))/MAX(F16,_xlfn.XLOOKUP(YEAR($C16)&amp;"Population density",aus_data!$A:$A&amp;aus_data!$B:$B,aus_data!$D:$D))</f>
        <v>2.8264791229861908E-2</v>
      </c>
      <c r="J16" s="19">
        <f t="shared" si="0"/>
        <v>0.33181502619503361</v>
      </c>
    </row>
    <row r="17" spans="1:10" x14ac:dyDescent="0.35">
      <c r="A17" s="3" t="s">
        <v>74</v>
      </c>
      <c r="B17" s="4" t="s">
        <v>64</v>
      </c>
      <c r="C17" s="18">
        <v>43891</v>
      </c>
      <c r="D17" s="37">
        <v>14437.808848085235</v>
      </c>
      <c r="E17" s="3">
        <v>4</v>
      </c>
      <c r="F17" s="19">
        <v>106.83923953539338</v>
      </c>
      <c r="G17" s="19" cm="1">
        <f t="array" ref="G17">MIN(D17,_xlfn.XLOOKUP(YEAR($C17)&amp;"Real GDP per capita (US$)",aus_data!$A:$A&amp;aus_data!$B:$B,aus_data!$D:$D))/MAX(D17,_xlfn.XLOOKUP(YEAR($C17)&amp;"Real GDP per capita (US$)",aus_data!$A:$A&amp;aus_data!$B:$B,aus_data!$D:$D))</f>
        <v>0.24835908841060686</v>
      </c>
      <c r="H17" s="19" cm="1">
        <f t="array" ref="H17">MIN(E17,_xlfn.XLOOKUP(YEAR($C17)&amp;"# of MNOs",aus_data!$A:$A&amp;aus_data!$B:$B,aus_data!$D:$D))/MAX(E17,_xlfn.XLOOKUP(YEAR($C17)&amp;"# of MNOs",aus_data!$A:$A&amp;aus_data!$B:$B,aus_data!$D:$D))</f>
        <v>0.75</v>
      </c>
      <c r="I17" s="19" cm="1">
        <f t="array" ref="I17">MIN(F17,_xlfn.XLOOKUP(YEAR($C17)&amp;"Population density",aus_data!$A:$A&amp;aus_data!$B:$B,aus_data!$D:$D))/MAX(F17,_xlfn.XLOOKUP(YEAR($C17)&amp;"Population density",aus_data!$A:$A&amp;aus_data!$B:$B,aus_data!$D:$D))</f>
        <v>3.1210695300796551E-2</v>
      </c>
      <c r="J17" s="19">
        <f t="shared" si="0"/>
        <v>0.3431899279038011</v>
      </c>
    </row>
    <row r="18" spans="1:10" x14ac:dyDescent="0.35">
      <c r="A18" s="3" t="s">
        <v>74</v>
      </c>
      <c r="B18" s="4" t="s">
        <v>36</v>
      </c>
      <c r="C18" s="18">
        <v>44197</v>
      </c>
      <c r="D18" s="37">
        <v>15521.381585225135</v>
      </c>
      <c r="E18" s="3">
        <v>4</v>
      </c>
      <c r="F18" s="19">
        <v>106.39810431733508</v>
      </c>
      <c r="G18" s="19" cm="1">
        <f t="array" ref="G18">MIN(D18,_xlfn.XLOOKUP(YEAR($C18)&amp;"Real GDP per capita (US$)",aus_data!$A:$A&amp;aus_data!$B:$B,aus_data!$D:$D))/MAX(D18,_xlfn.XLOOKUP(YEAR($C18)&amp;"Real GDP per capita (US$)",aus_data!$A:$A&amp;aus_data!$B:$B,aus_data!$D:$D))</f>
        <v>0.26184711937470267</v>
      </c>
      <c r="H18" s="19" cm="1">
        <f t="array" ref="H18">MIN(E18,_xlfn.XLOOKUP(YEAR($C18)&amp;"# of MNOs",aus_data!$A:$A&amp;aus_data!$B:$B,aus_data!$D:$D))/MAX(E18,_xlfn.XLOOKUP(YEAR($C18)&amp;"# of MNOs",aus_data!$A:$A&amp;aus_data!$B:$B,aus_data!$D:$D))</f>
        <v>0.75</v>
      </c>
      <c r="I18" s="19" cm="1">
        <f t="array" ref="I18">MIN(F18,_xlfn.XLOOKUP(YEAR($C18)&amp;"Population density",aus_data!$A:$A&amp;aus_data!$B:$B,aus_data!$D:$D))/MAX(F18,_xlfn.XLOOKUP(YEAR($C18)&amp;"Population density",aus_data!$A:$A&amp;aus_data!$B:$B,aus_data!$D:$D))</f>
        <v>3.1384285167192341E-2</v>
      </c>
      <c r="J18" s="19">
        <f t="shared" si="0"/>
        <v>0.34774380151396506</v>
      </c>
    </row>
    <row r="19" spans="1:10" x14ac:dyDescent="0.35">
      <c r="A19" s="3" t="s">
        <v>75</v>
      </c>
      <c r="B19" s="4" t="s">
        <v>69</v>
      </c>
      <c r="C19" s="18">
        <v>40787</v>
      </c>
      <c r="D19" s="37">
        <v>32388.81800991359</v>
      </c>
      <c r="E19" s="3">
        <v>4</v>
      </c>
      <c r="F19" s="19">
        <v>200.79754698733254</v>
      </c>
      <c r="G19" s="19" cm="1">
        <f t="array" ref="G19">MIN(D19,_xlfn.XLOOKUP(YEAR($C19)&amp;"Real GDP per capita (US$)",aus_data!$A:$A&amp;aus_data!$B:$B,aus_data!$D:$D))/MAX(D19,_xlfn.XLOOKUP(YEAR($C19)&amp;"Real GDP per capita (US$)",aus_data!$A:$A&amp;aus_data!$B:$B,aus_data!$D:$D))</f>
        <v>0.59855859586109472</v>
      </c>
      <c r="H19" s="19" cm="1">
        <f t="array" ref="H19">MIN(E19,_xlfn.XLOOKUP(YEAR($C19)&amp;"# of MNOs",aus_data!$A:$A&amp;aus_data!$B:$B,aus_data!$D:$D))/MAX(E19,_xlfn.XLOOKUP(YEAR($C19)&amp;"# of MNOs",aus_data!$A:$A&amp;aus_data!$B:$B,aus_data!$D:$D))</f>
        <v>0.75</v>
      </c>
      <c r="I19" s="19" cm="1">
        <f t="array" ref="I19">MIN(F19,_xlfn.XLOOKUP(YEAR($C19)&amp;"Population density",aus_data!$A:$A&amp;aus_data!$B:$B,aus_data!$D:$D))/MAX(F19,_xlfn.XLOOKUP(YEAR($C19)&amp;"Population density",aus_data!$A:$A&amp;aus_data!$B:$B,aus_data!$D:$D))</f>
        <v>1.4482180952655157E-2</v>
      </c>
      <c r="J19" s="19">
        <f t="shared" si="0"/>
        <v>0.45434692560458334</v>
      </c>
    </row>
    <row r="20" spans="1:10" x14ac:dyDescent="0.35">
      <c r="A20" s="3" t="s">
        <v>75</v>
      </c>
      <c r="B20" s="4" t="s">
        <v>72</v>
      </c>
      <c r="C20" s="18">
        <v>42248</v>
      </c>
      <c r="D20" s="37">
        <v>30387.129318785395</v>
      </c>
      <c r="E20" s="3">
        <v>4</v>
      </c>
      <c r="F20" s="19">
        <v>205.36653839130523</v>
      </c>
      <c r="G20" s="19" cm="1">
        <f t="array" ref="G20">MIN(D20,_xlfn.XLOOKUP(YEAR($C20)&amp;"Real GDP per capita (US$)",aus_data!$A:$A&amp;aus_data!$B:$B,aus_data!$D:$D))/MAX(D20,_xlfn.XLOOKUP(YEAR($C20)&amp;"Real GDP per capita (US$)",aus_data!$A:$A&amp;aus_data!$B:$B,aus_data!$D:$D))</f>
        <v>0.53555958173204221</v>
      </c>
      <c r="H20" s="19" cm="1">
        <f t="array" ref="H20">MIN(E20,_xlfn.XLOOKUP(YEAR($C20)&amp;"# of MNOs",aus_data!$A:$A&amp;aus_data!$B:$B,aus_data!$D:$D))/MAX(E20,_xlfn.XLOOKUP(YEAR($C20)&amp;"# of MNOs",aus_data!$A:$A&amp;aus_data!$B:$B,aus_data!$D:$D))</f>
        <v>0.75</v>
      </c>
      <c r="I20" s="19" cm="1">
        <f t="array" ref="I20">MIN(F20,_xlfn.XLOOKUP(YEAR($C20)&amp;"Population density",aus_data!$A:$A&amp;aus_data!$B:$B,aus_data!$D:$D))/MAX(F20,_xlfn.XLOOKUP(YEAR($C20)&amp;"Population density",aus_data!$A:$A&amp;aus_data!$B:$B,aus_data!$D:$D))</f>
        <v>1.5095509817578357E-2</v>
      </c>
      <c r="J20" s="19">
        <f t="shared" si="0"/>
        <v>0.43355169718320691</v>
      </c>
    </row>
    <row r="21" spans="1:10" x14ac:dyDescent="0.35">
      <c r="A21" s="3" t="s">
        <v>76</v>
      </c>
      <c r="B21" s="4" t="s">
        <v>37</v>
      </c>
      <c r="C21" s="18">
        <v>41244</v>
      </c>
      <c r="D21" s="37">
        <v>73661.678591800941</v>
      </c>
      <c r="E21" s="3">
        <v>3</v>
      </c>
      <c r="F21" s="19">
        <v>13.740329752165676</v>
      </c>
      <c r="G21" s="19" cm="1">
        <f t="array" ref="G21">MIN(D21,_xlfn.XLOOKUP(YEAR($C21)&amp;"Real GDP per capita (US$)",aus_data!$A:$A&amp;aus_data!$B:$B,aus_data!$D:$D))/MAX(D21,_xlfn.XLOOKUP(YEAR($C21)&amp;"Real GDP per capita (US$)",aus_data!$A:$A&amp;aus_data!$B:$B,aus_data!$D:$D))</f>
        <v>0.75015360748087456</v>
      </c>
      <c r="H21" s="19" cm="1">
        <f t="array" ref="H21">MIN(E21,_xlfn.XLOOKUP(YEAR($C21)&amp;"# of MNOs",aus_data!$A:$A&amp;aus_data!$B:$B,aus_data!$D:$D))/MAX(E21,_xlfn.XLOOKUP(YEAR($C21)&amp;"# of MNOs",aus_data!$A:$A&amp;aus_data!$B:$B,aus_data!$D:$D))</f>
        <v>1</v>
      </c>
      <c r="I21" s="19" cm="1">
        <f t="array" ref="I21">MIN(F21,_xlfn.XLOOKUP(YEAR($C21)&amp;"Population density",aus_data!$A:$A&amp;aus_data!$B:$B,aus_data!$D:$D))/MAX(F21,_xlfn.XLOOKUP(YEAR($C21)&amp;"Population density",aus_data!$A:$A&amp;aus_data!$B:$B,aus_data!$D:$D))</f>
        <v>0.21536603728265996</v>
      </c>
      <c r="J21" s="19">
        <f t="shared" si="0"/>
        <v>0.65517321492117819</v>
      </c>
    </row>
    <row r="22" spans="1:10" x14ac:dyDescent="0.35">
      <c r="A22" s="3" t="s">
        <v>76</v>
      </c>
      <c r="B22" s="4" t="s">
        <v>69</v>
      </c>
      <c r="C22" s="18">
        <v>42339</v>
      </c>
      <c r="D22" s="37">
        <v>74809.965804989755</v>
      </c>
      <c r="E22" s="3">
        <v>3</v>
      </c>
      <c r="F22" s="19">
        <v>14.207938482551718</v>
      </c>
      <c r="G22" s="19" cm="1">
        <f t="array" ref="G22">MIN(D22,_xlfn.XLOOKUP(YEAR($C22)&amp;"Real GDP per capita (US$)",aus_data!$A:$A&amp;aus_data!$B:$B,aus_data!$D:$D))/MAX(D22,_xlfn.XLOOKUP(YEAR($C22)&amp;"Real GDP per capita (US$)",aus_data!$A:$A&amp;aus_data!$B:$B,aus_data!$D:$D))</f>
        <v>0.75844208621299614</v>
      </c>
      <c r="H22" s="19" cm="1">
        <f t="array" ref="H22">MIN(E22,_xlfn.XLOOKUP(YEAR($C22)&amp;"# of MNOs",aus_data!$A:$A&amp;aus_data!$B:$B,aus_data!$D:$D))/MAX(E22,_xlfn.XLOOKUP(YEAR($C22)&amp;"# of MNOs",aus_data!$A:$A&amp;aus_data!$B:$B,aus_data!$D:$D))</f>
        <v>1</v>
      </c>
      <c r="I22" s="19" cm="1">
        <f t="array" ref="I22">MIN(F22,_xlfn.XLOOKUP(YEAR($C22)&amp;"Population density",aus_data!$A:$A&amp;aus_data!$B:$B,aus_data!$D:$D))/MAX(F22,_xlfn.XLOOKUP(YEAR($C22)&amp;"Population density",aus_data!$A:$A&amp;aus_data!$B:$B,aus_data!$D:$D))</f>
        <v>0.21819580654119333</v>
      </c>
      <c r="J22" s="19">
        <f t="shared" si="0"/>
        <v>0.65887929758472985</v>
      </c>
    </row>
    <row r="23" spans="1:10" x14ac:dyDescent="0.35">
      <c r="A23" s="3" t="s">
        <v>77</v>
      </c>
      <c r="B23" s="4" t="s">
        <v>69</v>
      </c>
      <c r="C23" s="18">
        <v>41183</v>
      </c>
      <c r="D23" s="37">
        <v>11542.235336801397</v>
      </c>
      <c r="E23" s="3">
        <v>4</v>
      </c>
      <c r="F23" s="19">
        <v>124.30005878126838</v>
      </c>
      <c r="G23" s="19" cm="1">
        <f t="array" ref="G23">MIN(D23,_xlfn.XLOOKUP(YEAR($C23)&amp;"Real GDP per capita (US$)",aus_data!$A:$A&amp;aus_data!$B:$B,aus_data!$D:$D))/MAX(D23,_xlfn.XLOOKUP(YEAR($C23)&amp;"Real GDP per capita (US$)",aus_data!$A:$A&amp;aus_data!$B:$B,aus_data!$D:$D))</f>
        <v>0.20888060253399879</v>
      </c>
      <c r="H23" s="19" cm="1">
        <f t="array" ref="H23">MIN(E23,_xlfn.XLOOKUP(YEAR($C23)&amp;"# of MNOs",aus_data!$A:$A&amp;aus_data!$B:$B,aus_data!$D:$D))/MAX(E23,_xlfn.XLOOKUP(YEAR($C23)&amp;"# of MNOs",aus_data!$A:$A&amp;aus_data!$B:$B,aus_data!$D:$D))</f>
        <v>0.75</v>
      </c>
      <c r="I23" s="19" cm="1">
        <f t="array" ref="I23">MIN(F23,_xlfn.XLOOKUP(YEAR($C23)&amp;"Population density",aus_data!$A:$A&amp;aus_data!$B:$B,aus_data!$D:$D))/MAX(F23,_xlfn.XLOOKUP(YEAR($C23)&amp;"Population density",aus_data!$A:$A&amp;aus_data!$B:$B,aus_data!$D:$D))</f>
        <v>2.3806910460825115E-2</v>
      </c>
      <c r="J23" s="19">
        <f t="shared" si="0"/>
        <v>0.32756250433160794</v>
      </c>
    </row>
    <row r="24" spans="1:10" x14ac:dyDescent="0.35">
      <c r="A24" s="3" t="s">
        <v>78</v>
      </c>
      <c r="B24" s="4" t="s">
        <v>36</v>
      </c>
      <c r="C24" s="18">
        <v>44470</v>
      </c>
      <c r="D24" s="37">
        <v>20747.699097903107</v>
      </c>
      <c r="E24" s="3">
        <v>3</v>
      </c>
      <c r="F24" s="19">
        <v>113.11351052774066</v>
      </c>
      <c r="G24" s="19" cm="1">
        <f t="array" ref="G24">MIN(D24,_xlfn.XLOOKUP(YEAR($C24)&amp;"Real GDP per capita (US$)",aus_data!$A:$A&amp;aus_data!$B:$B,aus_data!$D:$D))/MAX(D24,_xlfn.XLOOKUP(YEAR($C24)&amp;"Real GDP per capita (US$)",aus_data!$A:$A&amp;aus_data!$B:$B,aus_data!$D:$D))</f>
        <v>0.35001557126915034</v>
      </c>
      <c r="H24" s="19" cm="1">
        <f t="array" ref="H24">MIN(E24,_xlfn.XLOOKUP(YEAR($C24)&amp;"# of MNOs",aus_data!$A:$A&amp;aus_data!$B:$B,aus_data!$D:$D))/MAX(E24,_xlfn.XLOOKUP(YEAR($C24)&amp;"# of MNOs",aus_data!$A:$A&amp;aus_data!$B:$B,aus_data!$D:$D))</f>
        <v>1</v>
      </c>
      <c r="I24" s="19" cm="1">
        <f t="array" ref="I24">MIN(F24,_xlfn.XLOOKUP(YEAR($C24)&amp;"Population density",aus_data!$A:$A&amp;aus_data!$B:$B,aus_data!$D:$D))/MAX(F24,_xlfn.XLOOKUP(YEAR($C24)&amp;"Population density",aus_data!$A:$A&amp;aus_data!$B:$B,aus_data!$D:$D))</f>
        <v>2.9521039808281701E-2</v>
      </c>
      <c r="J24" s="19">
        <f t="shared" si="0"/>
        <v>0.45984553702581071</v>
      </c>
    </row>
    <row r="25" spans="1:10" x14ac:dyDescent="0.35">
      <c r="A25" s="3" t="s">
        <v>78</v>
      </c>
      <c r="B25" s="4" t="s">
        <v>64</v>
      </c>
      <c r="C25" s="18">
        <v>44470</v>
      </c>
      <c r="D25" s="37">
        <v>20747.699097903107</v>
      </c>
      <c r="E25" s="3">
        <v>3</v>
      </c>
      <c r="F25" s="19">
        <v>113.11351052774066</v>
      </c>
      <c r="G25" s="19" cm="1">
        <f t="array" ref="G25">MIN(D25,_xlfn.XLOOKUP(YEAR($C25)&amp;"Real GDP per capita (US$)",aus_data!$A:$A&amp;aus_data!$B:$B,aus_data!$D:$D))/MAX(D25,_xlfn.XLOOKUP(YEAR($C25)&amp;"Real GDP per capita (US$)",aus_data!$A:$A&amp;aus_data!$B:$B,aus_data!$D:$D))</f>
        <v>0.35001557126915034</v>
      </c>
      <c r="H25" s="19" cm="1">
        <f t="array" ref="H25">MIN(E25,_xlfn.XLOOKUP(YEAR($C25)&amp;"# of MNOs",aus_data!$A:$A&amp;aus_data!$B:$B,aus_data!$D:$D))/MAX(E25,_xlfn.XLOOKUP(YEAR($C25)&amp;"# of MNOs",aus_data!$A:$A&amp;aus_data!$B:$B,aus_data!$D:$D))</f>
        <v>1</v>
      </c>
      <c r="I25" s="19" cm="1">
        <f t="array" ref="I25">MIN(F25,_xlfn.XLOOKUP(YEAR($C25)&amp;"Population density",aus_data!$A:$A&amp;aus_data!$B:$B,aus_data!$D:$D))/MAX(F25,_xlfn.XLOOKUP(YEAR($C25)&amp;"Population density",aus_data!$A:$A&amp;aus_data!$B:$B,aus_data!$D:$D))</f>
        <v>2.9521039808281701E-2</v>
      </c>
      <c r="J25" s="19">
        <f t="shared" si="0"/>
        <v>0.45984553702581071</v>
      </c>
    </row>
    <row r="26" spans="1:10" x14ac:dyDescent="0.35">
      <c r="A26" s="3" t="s">
        <v>79</v>
      </c>
      <c r="B26" s="4" t="s">
        <v>72</v>
      </c>
      <c r="C26" s="18">
        <v>44287</v>
      </c>
      <c r="D26" s="37">
        <v>24659.249901338451</v>
      </c>
      <c r="E26" s="3">
        <v>4</v>
      </c>
      <c r="F26" s="19">
        <v>104.68996444250213</v>
      </c>
      <c r="G26" s="19" cm="1">
        <f t="array" ref="G26">MIN(D26,_xlfn.XLOOKUP(YEAR($C26)&amp;"Real GDP per capita (US$)",aus_data!$A:$A&amp;aus_data!$B:$B,aus_data!$D:$D))/MAX(D26,_xlfn.XLOOKUP(YEAR($C26)&amp;"Real GDP per capita (US$)",aus_data!$A:$A&amp;aus_data!$B:$B,aus_data!$D:$D))</f>
        <v>0.4160037891699534</v>
      </c>
      <c r="H26" s="19" cm="1">
        <f t="array" ref="H26">MIN(E26,_xlfn.XLOOKUP(YEAR($C26)&amp;"# of MNOs",aus_data!$A:$A&amp;aus_data!$B:$B,aus_data!$D:$D))/MAX(E26,_xlfn.XLOOKUP(YEAR($C26)&amp;"# of MNOs",aus_data!$A:$A&amp;aus_data!$B:$B,aus_data!$D:$D))</f>
        <v>0.75</v>
      </c>
      <c r="I26" s="19" cm="1">
        <f t="array" ref="I26">MIN(F26,_xlfn.XLOOKUP(YEAR($C26)&amp;"Population density",aus_data!$A:$A&amp;aus_data!$B:$B,aus_data!$D:$D))/MAX(F26,_xlfn.XLOOKUP(YEAR($C26)&amp;"Population density",aus_data!$A:$A&amp;aus_data!$B:$B,aus_data!$D:$D))</f>
        <v>3.1896356684483311E-2</v>
      </c>
      <c r="J26" s="19">
        <f t="shared" si="0"/>
        <v>0.3993000486181455</v>
      </c>
    </row>
    <row r="27" spans="1:10" x14ac:dyDescent="0.35">
      <c r="A27" s="3" t="s">
        <v>79</v>
      </c>
      <c r="B27" s="4" t="s">
        <v>64</v>
      </c>
      <c r="C27" s="18">
        <v>44287</v>
      </c>
      <c r="D27" s="37">
        <v>24659.249901338451</v>
      </c>
      <c r="E27" s="3">
        <v>4</v>
      </c>
      <c r="F27" s="19">
        <v>104.68996444250213</v>
      </c>
      <c r="G27" s="19" cm="1">
        <f t="array" ref="G27">MIN(D27,_xlfn.XLOOKUP(YEAR($C27)&amp;"Real GDP per capita (US$)",aus_data!$A:$A&amp;aus_data!$B:$B,aus_data!$D:$D))/MAX(D27,_xlfn.XLOOKUP(YEAR($C27)&amp;"Real GDP per capita (US$)",aus_data!$A:$A&amp;aus_data!$B:$B,aus_data!$D:$D))</f>
        <v>0.4160037891699534</v>
      </c>
      <c r="H27" s="19" cm="1">
        <f t="array" ref="H27">MIN(E27,_xlfn.XLOOKUP(YEAR($C27)&amp;"# of MNOs",aus_data!$A:$A&amp;aus_data!$B:$B,aus_data!$D:$D))/MAX(E27,_xlfn.XLOOKUP(YEAR($C27)&amp;"# of MNOs",aus_data!$A:$A&amp;aus_data!$B:$B,aus_data!$D:$D))</f>
        <v>0.75</v>
      </c>
      <c r="I27" s="19" cm="1">
        <f t="array" ref="I27">MIN(F27,_xlfn.XLOOKUP(YEAR($C27)&amp;"Population density",aus_data!$A:$A&amp;aus_data!$B:$B,aus_data!$D:$D))/MAX(F27,_xlfn.XLOOKUP(YEAR($C27)&amp;"Population density",aus_data!$A:$A&amp;aus_data!$B:$B,aus_data!$D:$D))</f>
        <v>3.1896356684483311E-2</v>
      </c>
      <c r="J27" s="19">
        <f t="shared" si="0"/>
        <v>0.3993000486181455</v>
      </c>
    </row>
    <row r="28" spans="1:10" x14ac:dyDescent="0.35">
      <c r="A28" s="3" t="s">
        <v>80</v>
      </c>
      <c r="B28" s="4" t="s">
        <v>69</v>
      </c>
      <c r="C28" s="18">
        <v>40664</v>
      </c>
      <c r="D28" s="37">
        <v>25510.557960106878</v>
      </c>
      <c r="E28" s="3">
        <v>4</v>
      </c>
      <c r="F28" s="19">
        <v>93.507835880611353</v>
      </c>
      <c r="G28" s="19" cm="1">
        <f t="array" ref="G28">MIN(D28,_xlfn.XLOOKUP(YEAR($C28)&amp;"Real GDP per capita (US$)",aus_data!$A:$A&amp;aus_data!$B:$B,aus_data!$D:$D))/MAX(D28,_xlfn.XLOOKUP(YEAR($C28)&amp;"Real GDP per capita (US$)",aus_data!$A:$A&amp;aus_data!$B:$B,aus_data!$D:$D))</f>
        <v>0.47144553862882332</v>
      </c>
      <c r="H28" s="19" cm="1">
        <f t="array" ref="H28">MIN(E28,_xlfn.XLOOKUP(YEAR($C28)&amp;"# of MNOs",aus_data!$A:$A&amp;aus_data!$B:$B,aus_data!$D:$D))/MAX(E28,_xlfn.XLOOKUP(YEAR($C28)&amp;"# of MNOs",aus_data!$A:$A&amp;aus_data!$B:$B,aus_data!$D:$D))</f>
        <v>0.75</v>
      </c>
      <c r="I28" s="19" cm="1">
        <f t="array" ref="I28">MIN(F28,_xlfn.XLOOKUP(YEAR($C28)&amp;"Population density",aus_data!$A:$A&amp;aus_data!$B:$B,aus_data!$D:$D))/MAX(F28,_xlfn.XLOOKUP(YEAR($C28)&amp;"Population density",aus_data!$A:$A&amp;aus_data!$B:$B,aus_data!$D:$D))</f>
        <v>3.1098852656933226E-2</v>
      </c>
      <c r="J28" s="19">
        <f t="shared" si="0"/>
        <v>0.41751479709525219</v>
      </c>
    </row>
    <row r="29" spans="1:10" x14ac:dyDescent="0.35">
      <c r="A29" s="3" t="s">
        <v>81</v>
      </c>
      <c r="B29" s="4" t="s">
        <v>69</v>
      </c>
      <c r="C29" s="18">
        <v>40817</v>
      </c>
      <c r="D29" s="37">
        <v>49355.689941973738</v>
      </c>
      <c r="E29" s="3">
        <v>3</v>
      </c>
      <c r="F29" s="19">
        <v>23.197378011522076</v>
      </c>
      <c r="G29" s="19" cm="1">
        <f t="array" ref="G29">MIN(D29,_xlfn.XLOOKUP(YEAR($C29)&amp;"Real GDP per capita (US$)",aus_data!$A:$A&amp;aus_data!$B:$B,aus_data!$D:$D))/MAX(D29,_xlfn.XLOOKUP(YEAR($C29)&amp;"Real GDP per capita (US$)",aus_data!$A:$A&amp;aus_data!$B:$B,aus_data!$D:$D))</f>
        <v>0.91211332443132187</v>
      </c>
      <c r="H29" s="19" cm="1">
        <f t="array" ref="H29">MIN(E29,_xlfn.XLOOKUP(YEAR($C29)&amp;"# of MNOs",aus_data!$A:$A&amp;aus_data!$B:$B,aus_data!$D:$D))/MAX(E29,_xlfn.XLOOKUP(YEAR($C29)&amp;"# of MNOs",aus_data!$A:$A&amp;aus_data!$B:$B,aus_data!$D:$D))</f>
        <v>1</v>
      </c>
      <c r="I29" s="19" cm="1">
        <f t="array" ref="I29">MIN(F29,_xlfn.XLOOKUP(YEAR($C29)&amp;"Population density",aus_data!$A:$A&amp;aus_data!$B:$B,aus_data!$D:$D))/MAX(F29,_xlfn.XLOOKUP(YEAR($C29)&amp;"Population density",aus_data!$A:$A&amp;aus_data!$B:$B,aus_data!$D:$D))</f>
        <v>0.12535840942348903</v>
      </c>
      <c r="J29" s="19">
        <f t="shared" si="0"/>
        <v>0.67915724461827043</v>
      </c>
    </row>
    <row r="30" spans="1:10" x14ac:dyDescent="0.35">
      <c r="A30" s="3" t="s">
        <v>81</v>
      </c>
      <c r="B30" s="4" t="s">
        <v>69</v>
      </c>
      <c r="C30" s="18">
        <v>42644</v>
      </c>
      <c r="D30" s="37">
        <v>51746.696963247814</v>
      </c>
      <c r="E30" s="3">
        <v>3</v>
      </c>
      <c r="F30" s="19">
        <v>24.362449750883012</v>
      </c>
      <c r="G30" s="19" cm="1">
        <f t="array" ref="G30">MIN(D30,_xlfn.XLOOKUP(YEAR($C30)&amp;"Real GDP per capita (US$)",aus_data!$A:$A&amp;aus_data!$B:$B,aus_data!$D:$D))/MAX(D30,_xlfn.XLOOKUP(YEAR($C30)&amp;"Real GDP per capita (US$)",aus_data!$A:$A&amp;aus_data!$B:$B,aus_data!$D:$D))</f>
        <v>0.90149365446809593</v>
      </c>
      <c r="H30" s="19" cm="1">
        <f t="array" ref="H30">MIN(E30,_xlfn.XLOOKUP(YEAR($C30)&amp;"# of MNOs",aus_data!$A:$A&amp;aus_data!$B:$B,aus_data!$D:$D))/MAX(E30,_xlfn.XLOOKUP(YEAR($C30)&amp;"# of MNOs",aus_data!$A:$A&amp;aus_data!$B:$B,aus_data!$D:$D))</f>
        <v>1</v>
      </c>
      <c r="I30" s="19" cm="1">
        <f t="array" ref="I30">MIN(F30,_xlfn.XLOOKUP(YEAR($C30)&amp;"Population density",aus_data!$A:$A&amp;aus_data!$B:$B,aus_data!$D:$D))/MAX(F30,_xlfn.XLOOKUP(YEAR($C30)&amp;"Population density",aus_data!$A:$A&amp;aus_data!$B:$B,aus_data!$D:$D))</f>
        <v>0.12908946196902291</v>
      </c>
      <c r="J30" s="19">
        <f t="shared" si="0"/>
        <v>0.67686103881237303</v>
      </c>
    </row>
    <row r="31" spans="1:10" x14ac:dyDescent="0.35">
      <c r="A31" s="3" t="s">
        <v>81</v>
      </c>
      <c r="B31" s="4" t="s">
        <v>64</v>
      </c>
      <c r="C31" s="18">
        <v>45170</v>
      </c>
      <c r="D31" s="37">
        <v>54449.798204295257</v>
      </c>
      <c r="E31" s="3">
        <v>3</v>
      </c>
      <c r="F31" s="19">
        <v>25.870732665488116</v>
      </c>
      <c r="G31" s="19" cm="1">
        <f t="array" ref="G31">MIN(D31,_xlfn.XLOOKUP(YEAR($C31)&amp;"Real GDP per capita (US$)",aus_data!$A:$A&amp;aus_data!$B:$B,aus_data!$D:$D))/MAX(D31,_xlfn.XLOOKUP(YEAR($C31)&amp;"Real GDP per capita (US$)",aus_data!$A:$A&amp;aus_data!$B:$B,aus_data!$D:$D))</f>
        <v>0.88415611059814103</v>
      </c>
      <c r="H31" s="19" cm="1">
        <f t="array" ref="H31">MIN(E31,_xlfn.XLOOKUP(YEAR($C31)&amp;"# of MNOs",aus_data!$A:$A&amp;aus_data!$B:$B,aus_data!$D:$D))/MAX(E31,_xlfn.XLOOKUP(YEAR($C31)&amp;"# of MNOs",aus_data!$A:$A&amp;aus_data!$B:$B,aus_data!$D:$D))</f>
        <v>1</v>
      </c>
      <c r="I31" s="19" cm="1">
        <f t="array" ref="I31">MIN(F31,_xlfn.XLOOKUP(YEAR($C31)&amp;"Population density",aus_data!$A:$A&amp;aus_data!$B:$B,aus_data!$D:$D))/MAX(F31,_xlfn.XLOOKUP(YEAR($C31)&amp;"Population density",aus_data!$A:$A&amp;aus_data!$B:$B,aus_data!$D:$D))</f>
        <v>0.13396577922496952</v>
      </c>
      <c r="J31" s="19">
        <f t="shared" si="0"/>
        <v>0.67270729660770356</v>
      </c>
    </row>
    <row r="32" spans="1:10" x14ac:dyDescent="0.35">
      <c r="A32" s="3" t="s">
        <v>82</v>
      </c>
      <c r="B32" s="4" t="s">
        <v>83</v>
      </c>
      <c r="C32" s="18">
        <v>41671</v>
      </c>
      <c r="D32" s="37">
        <v>55817.563247195831</v>
      </c>
      <c r="E32" s="3">
        <v>3</v>
      </c>
      <c r="F32" s="19">
        <v>34.806134297976918</v>
      </c>
      <c r="G32" s="19" cm="1">
        <f t="array" ref="G32">MIN(D32,_xlfn.XLOOKUP(YEAR($C32)&amp;"Real GDP per capita (US$)",aus_data!$A:$A&amp;aus_data!$B:$B,aus_data!$D:$D))/MAX(D32,_xlfn.XLOOKUP(YEAR($C32)&amp;"Real GDP per capita (US$)",aus_data!$A:$A&amp;aus_data!$B:$B,aus_data!$D:$D))</f>
        <v>0.99094071530905359</v>
      </c>
      <c r="H32" s="19" cm="1">
        <f t="array" ref="H32">MIN(E32,_xlfn.XLOOKUP(YEAR($C32)&amp;"# of MNOs",aus_data!$A:$A&amp;aus_data!$B:$B,aus_data!$D:$D))/MAX(E32,_xlfn.XLOOKUP(YEAR($C32)&amp;"# of MNOs",aus_data!$A:$A&amp;aus_data!$B:$B,aus_data!$D:$D))</f>
        <v>1</v>
      </c>
      <c r="I32" s="19" cm="1">
        <f t="array" ref="I32">MIN(F32,_xlfn.XLOOKUP(YEAR($C32)&amp;"Population density",aus_data!$A:$A&amp;aus_data!$B:$B,aus_data!$D:$D))/MAX(F32,_xlfn.XLOOKUP(YEAR($C32)&amp;"Population density",aus_data!$A:$A&amp;aus_data!$B:$B,aus_data!$D:$D))</f>
        <v>8.7795294038900934E-2</v>
      </c>
      <c r="J32" s="19">
        <f t="shared" si="0"/>
        <v>0.69291200311598489</v>
      </c>
    </row>
    <row r="33" spans="1:10" x14ac:dyDescent="0.35">
      <c r="A33" s="3" t="s">
        <v>82</v>
      </c>
      <c r="B33" s="4" t="s">
        <v>84</v>
      </c>
      <c r="C33" s="18">
        <v>42005</v>
      </c>
      <c r="D33" s="37">
        <v>57040.20821366048</v>
      </c>
      <c r="E33" s="3">
        <v>3</v>
      </c>
      <c r="F33" s="19">
        <v>35.063328676282495</v>
      </c>
      <c r="G33" s="19" cm="1">
        <f t="array" ref="G33">MIN(D33,_xlfn.XLOOKUP(YEAR($C33)&amp;"Real GDP per capita (US$)",aus_data!$A:$A&amp;aus_data!$B:$B,aus_data!$D:$D))/MAX(D33,_xlfn.XLOOKUP(YEAR($C33)&amp;"Real GDP per capita (US$)",aus_data!$A:$A&amp;aus_data!$B:$B,aus_data!$D:$D))</f>
        <v>0.99471983556103116</v>
      </c>
      <c r="H33" s="19" cm="1">
        <f t="array" ref="H33">MIN(E33,_xlfn.XLOOKUP(YEAR($C33)&amp;"# of MNOs",aus_data!$A:$A&amp;aus_data!$B:$B,aus_data!$D:$D))/MAX(E33,_xlfn.XLOOKUP(YEAR($C33)&amp;"# of MNOs",aus_data!$A:$A&amp;aus_data!$B:$B,aus_data!$D:$D))</f>
        <v>1</v>
      </c>
      <c r="I33" s="19" cm="1">
        <f t="array" ref="I33">MIN(F33,_xlfn.XLOOKUP(YEAR($C33)&amp;"Population density",aus_data!$A:$A&amp;aus_data!$B:$B,aus_data!$D:$D))/MAX(F33,_xlfn.XLOOKUP(YEAR($C33)&amp;"Population density",aus_data!$A:$A&amp;aus_data!$B:$B,aus_data!$D:$D))</f>
        <v>8.8414668929735873E-2</v>
      </c>
      <c r="J33" s="19">
        <f t="shared" si="0"/>
        <v>0.6943781681635891</v>
      </c>
    </row>
    <row r="34" spans="1:10" x14ac:dyDescent="0.35">
      <c r="A34" s="3" t="s">
        <v>85</v>
      </c>
      <c r="B34" s="4" t="s">
        <v>86</v>
      </c>
      <c r="C34" s="18">
        <v>41334</v>
      </c>
      <c r="D34" s="37">
        <v>16639.405475065061</v>
      </c>
      <c r="E34" s="3">
        <v>3</v>
      </c>
      <c r="F34" s="19">
        <v>19.114026968346476</v>
      </c>
      <c r="G34" s="19" cm="1">
        <f t="array" ref="G34">MIN(D34,_xlfn.XLOOKUP(YEAR($C34)&amp;"Real GDP per capita (US$)",aus_data!$A:$A&amp;aus_data!$B:$B,aus_data!$D:$D))/MAX(D34,_xlfn.XLOOKUP(YEAR($C34)&amp;"Real GDP per capita (US$)",aus_data!$A:$A&amp;aus_data!$B:$B,aus_data!$D:$D))</f>
        <v>0.29858240523013019</v>
      </c>
      <c r="H34" s="19" cm="1">
        <f t="array" ref="H34">MIN(E34,_xlfn.XLOOKUP(YEAR($C34)&amp;"# of MNOs",aus_data!$A:$A&amp;aus_data!$B:$B,aus_data!$D:$D))/MAX(E34,_xlfn.XLOOKUP(YEAR($C34)&amp;"# of MNOs",aus_data!$A:$A&amp;aus_data!$B:$B,aus_data!$D:$D))</f>
        <v>1</v>
      </c>
      <c r="I34" s="19" cm="1">
        <f t="array" ref="I34">MIN(F34,_xlfn.XLOOKUP(YEAR($C34)&amp;"Population density",aus_data!$A:$A&amp;aus_data!$B:$B,aus_data!$D:$D))/MAX(F34,_xlfn.XLOOKUP(YEAR($C34)&amp;"Population density",aus_data!$A:$A&amp;aus_data!$B:$B,aus_data!$D:$D))</f>
        <v>0.15750597878422742</v>
      </c>
      <c r="J34" s="19">
        <f t="shared" si="0"/>
        <v>0.48536279467145255</v>
      </c>
    </row>
    <row r="35" spans="1:10" x14ac:dyDescent="0.35">
      <c r="A35" s="3" t="s">
        <v>85</v>
      </c>
      <c r="B35" s="4" t="s">
        <v>87</v>
      </c>
      <c r="C35" s="18">
        <v>41334</v>
      </c>
      <c r="D35" s="37">
        <v>16639.405475065061</v>
      </c>
      <c r="E35" s="3">
        <v>3</v>
      </c>
      <c r="F35" s="19">
        <v>19.114026968346476</v>
      </c>
      <c r="G35" s="19" cm="1">
        <f t="array" ref="G35">MIN(D35,_xlfn.XLOOKUP(YEAR($C35)&amp;"Real GDP per capita (US$)",aus_data!$A:$A&amp;aus_data!$B:$B,aus_data!$D:$D))/MAX(D35,_xlfn.XLOOKUP(YEAR($C35)&amp;"Real GDP per capita (US$)",aus_data!$A:$A&amp;aus_data!$B:$B,aus_data!$D:$D))</f>
        <v>0.29858240523013019</v>
      </c>
      <c r="H35" s="19" cm="1">
        <f t="array" ref="H35">MIN(E35,_xlfn.XLOOKUP(YEAR($C35)&amp;"# of MNOs",aus_data!$A:$A&amp;aus_data!$B:$B,aus_data!$D:$D))/MAX(E35,_xlfn.XLOOKUP(YEAR($C35)&amp;"# of MNOs",aus_data!$A:$A&amp;aus_data!$B:$B,aus_data!$D:$D))</f>
        <v>1</v>
      </c>
      <c r="I35" s="19" cm="1">
        <f t="array" ref="I35">MIN(F35,_xlfn.XLOOKUP(YEAR($C35)&amp;"Population density",aus_data!$A:$A&amp;aus_data!$B:$B,aus_data!$D:$D))/MAX(F35,_xlfn.XLOOKUP(YEAR($C35)&amp;"Population density",aus_data!$A:$A&amp;aus_data!$B:$B,aus_data!$D:$D))</f>
        <v>0.15750597878422742</v>
      </c>
      <c r="J35" s="19">
        <f t="shared" si="0"/>
        <v>0.48536279467145255</v>
      </c>
    </row>
    <row r="36" spans="1:10" x14ac:dyDescent="0.35">
      <c r="A36" s="3" t="s">
        <v>85</v>
      </c>
      <c r="B36" s="4" t="s">
        <v>86</v>
      </c>
      <c r="C36" s="18">
        <v>42979</v>
      </c>
      <c r="D36" s="37">
        <v>17611.603668106371</v>
      </c>
      <c r="E36" s="3">
        <v>3</v>
      </c>
      <c r="F36" s="19">
        <v>19.360290252542566</v>
      </c>
      <c r="G36" s="19" cm="1">
        <f t="array" ref="G36">MIN(D36,_xlfn.XLOOKUP(YEAR($C36)&amp;"Real GDP per capita (US$)",aus_data!$A:$A&amp;aus_data!$B:$B,aus_data!$D:$D))/MAX(D36,_xlfn.XLOOKUP(YEAR($C36)&amp;"Real GDP per capita (US$)",aus_data!$A:$A&amp;aus_data!$B:$B,aus_data!$D:$D))</f>
        <v>0.3049594110243386</v>
      </c>
      <c r="H36" s="19" cm="1">
        <f t="array" ref="H36">MIN(E36,_xlfn.XLOOKUP(YEAR($C36)&amp;"# of MNOs",aus_data!$A:$A&amp;aus_data!$B:$B,aus_data!$D:$D))/MAX(E36,_xlfn.XLOOKUP(YEAR($C36)&amp;"# of MNOs",aus_data!$A:$A&amp;aus_data!$B:$B,aus_data!$D:$D))</f>
        <v>1</v>
      </c>
      <c r="I36" s="19" cm="1">
        <f t="array" ref="I36">MIN(F36,_xlfn.XLOOKUP(YEAR($C36)&amp;"Population density",aus_data!$A:$A&amp;aus_data!$B:$B,aus_data!$D:$D))/MAX(F36,_xlfn.XLOOKUP(YEAR($C36)&amp;"Population density",aus_data!$A:$A&amp;aus_data!$B:$B,aus_data!$D:$D))</f>
        <v>0.16513988023578474</v>
      </c>
      <c r="J36" s="19">
        <f t="shared" si="0"/>
        <v>0.49003309708670778</v>
      </c>
    </row>
    <row r="37" spans="1:10" x14ac:dyDescent="0.35">
      <c r="A37" s="3" t="s">
        <v>85</v>
      </c>
      <c r="B37" s="4" t="s">
        <v>64</v>
      </c>
      <c r="C37" s="18">
        <v>42979</v>
      </c>
      <c r="D37" s="37">
        <v>17611.603668106371</v>
      </c>
      <c r="E37" s="3">
        <v>3</v>
      </c>
      <c r="F37" s="19">
        <v>19.360290252542566</v>
      </c>
      <c r="G37" s="19" cm="1">
        <f t="array" ref="G37">MIN(D37,_xlfn.XLOOKUP(YEAR($C37)&amp;"Real GDP per capita (US$)",aus_data!$A:$A&amp;aus_data!$B:$B,aus_data!$D:$D))/MAX(D37,_xlfn.XLOOKUP(YEAR($C37)&amp;"Real GDP per capita (US$)",aus_data!$A:$A&amp;aus_data!$B:$B,aus_data!$D:$D))</f>
        <v>0.3049594110243386</v>
      </c>
      <c r="H37" s="19" cm="1">
        <f t="array" ref="H37">MIN(E37,_xlfn.XLOOKUP(YEAR($C37)&amp;"# of MNOs",aus_data!$A:$A&amp;aus_data!$B:$B,aus_data!$D:$D))/MAX(E37,_xlfn.XLOOKUP(YEAR($C37)&amp;"# of MNOs",aus_data!$A:$A&amp;aus_data!$B:$B,aus_data!$D:$D))</f>
        <v>1</v>
      </c>
      <c r="I37" s="19" cm="1">
        <f t="array" ref="I37">MIN(F37,_xlfn.XLOOKUP(YEAR($C37)&amp;"Population density",aus_data!$A:$A&amp;aus_data!$B:$B,aus_data!$D:$D))/MAX(F37,_xlfn.XLOOKUP(YEAR($C37)&amp;"Population density",aus_data!$A:$A&amp;aus_data!$B:$B,aus_data!$D:$D))</f>
        <v>0.16513988023578474</v>
      </c>
      <c r="J37" s="19">
        <f t="shared" si="0"/>
        <v>0.49003309708670778</v>
      </c>
    </row>
    <row r="38" spans="1:10" x14ac:dyDescent="0.35">
      <c r="A38" s="3" t="s">
        <v>85</v>
      </c>
      <c r="B38" s="4" t="s">
        <v>86</v>
      </c>
      <c r="C38" s="18">
        <v>43770</v>
      </c>
      <c r="D38" s="37">
        <v>17758.438425348486</v>
      </c>
      <c r="E38" s="3">
        <v>3</v>
      </c>
      <c r="F38" s="19">
        <v>19.410387384298936</v>
      </c>
      <c r="G38" s="19" cm="1">
        <f t="array" ref="G38">MIN(D38,_xlfn.XLOOKUP(YEAR($C38)&amp;"Real GDP per capita (US$)",aus_data!$A:$A&amp;aus_data!$B:$B,aus_data!$D:$D))/MAX(D38,_xlfn.XLOOKUP(YEAR($C38)&amp;"Real GDP per capita (US$)",aus_data!$A:$A&amp;aus_data!$B:$B,aus_data!$D:$D))</f>
        <v>0.30137494607887916</v>
      </c>
      <c r="H38" s="19" cm="1">
        <f t="array" ref="H38">MIN(E38,_xlfn.XLOOKUP(YEAR($C38)&amp;"# of MNOs",aus_data!$A:$A&amp;aus_data!$B:$B,aus_data!$D:$D))/MAX(E38,_xlfn.XLOOKUP(YEAR($C38)&amp;"# of MNOs",aus_data!$A:$A&amp;aus_data!$B:$B,aus_data!$D:$D))</f>
        <v>1</v>
      </c>
      <c r="I38" s="19" cm="1">
        <f t="array" ref="I38">MIN(F38,_xlfn.XLOOKUP(YEAR($C38)&amp;"Population density",aus_data!$A:$A&amp;aus_data!$B:$B,aus_data!$D:$D))/MAX(F38,_xlfn.XLOOKUP(YEAR($C38)&amp;"Population density",aus_data!$A:$A&amp;aus_data!$B:$B,aus_data!$D:$D))</f>
        <v>0.16968494741095547</v>
      </c>
      <c r="J38" s="19">
        <f t="shared" si="0"/>
        <v>0.49035329782994491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C3AEF5-81DF-4BB1-BA56-E00823B25C3A}">
  <sheetPr>
    <tabColor theme="9" tint="0.79998168889431442"/>
  </sheetPr>
  <dimension ref="A1:I38"/>
  <sheetViews>
    <sheetView workbookViewId="0">
      <pane xSplit="3" ySplit="1" topLeftCell="D2" activePane="bottomRight" state="frozen"/>
      <selection pane="topRight" activeCell="D1" sqref="D1"/>
      <selection pane="bottomLeft" activeCell="A2" sqref="A2"/>
      <selection pane="bottomRight"/>
    </sheetView>
  </sheetViews>
  <sheetFormatPr defaultRowHeight="14.5" x14ac:dyDescent="0.35"/>
  <cols>
    <col min="1" max="2" width="20.6328125" style="3" customWidth="1"/>
    <col min="3" max="3" width="17.6328125" style="3" customWidth="1"/>
    <col min="4" max="9" width="20.6328125" style="3" customWidth="1"/>
    <col min="10" max="16384" width="8.7265625" style="3"/>
  </cols>
  <sheetData>
    <row r="1" spans="1:9" ht="40" customHeight="1" x14ac:dyDescent="0.35">
      <c r="A1" s="16" t="s">
        <v>50</v>
      </c>
      <c r="B1" s="6" t="s">
        <v>51</v>
      </c>
      <c r="C1" s="17" t="s">
        <v>52</v>
      </c>
      <c r="D1" s="6" t="s">
        <v>120</v>
      </c>
      <c r="E1" s="6" t="s">
        <v>121</v>
      </c>
      <c r="F1" s="6" t="s">
        <v>122</v>
      </c>
      <c r="G1" s="6" t="s">
        <v>123</v>
      </c>
      <c r="H1" s="6" t="s">
        <v>124</v>
      </c>
      <c r="I1" s="6" t="s">
        <v>125</v>
      </c>
    </row>
    <row r="2" spans="1:9" x14ac:dyDescent="0.35">
      <c r="A2" s="3" t="s">
        <v>62</v>
      </c>
      <c r="B2" s="4" t="s">
        <v>36</v>
      </c>
      <c r="C2" s="18">
        <v>42401</v>
      </c>
      <c r="D2" s="19">
        <v>4.0144562774833116E-2</v>
      </c>
      <c r="E2" s="19">
        <v>4.0144562774833116E-2</v>
      </c>
      <c r="F2" s="19">
        <v>4.0144562774833116E-2</v>
      </c>
      <c r="G2" s="19">
        <v>4.0144562774833116E-2</v>
      </c>
      <c r="H2" s="19">
        <v>4.0144562774833116E-2</v>
      </c>
      <c r="I2" s="19">
        <v>4.0144562774833116E-2</v>
      </c>
    </row>
    <row r="3" spans="1:9" x14ac:dyDescent="0.35">
      <c r="A3" s="3" t="s">
        <v>63</v>
      </c>
      <c r="B3" s="4" t="s">
        <v>36</v>
      </c>
      <c r="C3" s="18">
        <v>44713</v>
      </c>
      <c r="D3" s="19">
        <v>2.0091223455423701E-2</v>
      </c>
      <c r="E3" s="59"/>
      <c r="F3" s="59"/>
      <c r="G3" s="19">
        <v>2.6146771014783146E-2</v>
      </c>
      <c r="H3" s="59"/>
      <c r="I3" s="59"/>
    </row>
    <row r="4" spans="1:9" x14ac:dyDescent="0.35">
      <c r="A4" s="3" t="s">
        <v>63</v>
      </c>
      <c r="B4" s="4" t="s">
        <v>64</v>
      </c>
      <c r="C4" s="18">
        <v>44713</v>
      </c>
      <c r="D4" s="19">
        <v>2.8994280817858074E-2</v>
      </c>
      <c r="E4" s="59"/>
      <c r="F4" s="59"/>
      <c r="G4" s="19">
        <v>3.7733233267991988E-2</v>
      </c>
      <c r="H4" s="59"/>
      <c r="I4" s="59"/>
    </row>
    <row r="5" spans="1:9" x14ac:dyDescent="0.35">
      <c r="A5" s="3" t="s">
        <v>65</v>
      </c>
      <c r="B5" s="4" t="s">
        <v>37</v>
      </c>
      <c r="C5" s="18">
        <v>42156</v>
      </c>
      <c r="D5" s="19">
        <v>6.1967636433732237E-2</v>
      </c>
      <c r="E5" s="19">
        <v>6.1967636433732237E-2</v>
      </c>
      <c r="F5" s="19">
        <v>6.1967636433732237E-2</v>
      </c>
      <c r="G5" s="19">
        <v>7.0296321215274613E-2</v>
      </c>
      <c r="H5" s="19">
        <v>7.0296321215274613E-2</v>
      </c>
      <c r="I5" s="19">
        <v>7.0296321215274613E-2</v>
      </c>
    </row>
    <row r="6" spans="1:9" x14ac:dyDescent="0.35">
      <c r="A6" s="3" t="s">
        <v>66</v>
      </c>
      <c r="B6" s="4" t="s">
        <v>36</v>
      </c>
      <c r="C6" s="18">
        <v>44986</v>
      </c>
      <c r="D6" s="59"/>
      <c r="E6" s="19">
        <v>2.5280405349703935E-2</v>
      </c>
      <c r="F6" s="59"/>
      <c r="G6" s="59"/>
      <c r="H6" s="19">
        <v>4.9997736663720344E-2</v>
      </c>
      <c r="I6" s="59"/>
    </row>
    <row r="7" spans="1:9" x14ac:dyDescent="0.35">
      <c r="A7" s="3" t="s">
        <v>66</v>
      </c>
      <c r="B7" s="4" t="s">
        <v>64</v>
      </c>
      <c r="C7" s="18">
        <v>44986</v>
      </c>
      <c r="D7" s="59"/>
      <c r="E7" s="19">
        <v>4.6246517626479189E-2</v>
      </c>
      <c r="F7" s="59"/>
      <c r="G7" s="59"/>
      <c r="H7" s="19">
        <v>9.146298003998922E-2</v>
      </c>
      <c r="I7" s="59"/>
    </row>
    <row r="8" spans="1:9" x14ac:dyDescent="0.35">
      <c r="A8" s="3" t="s">
        <v>67</v>
      </c>
      <c r="B8" s="4" t="s">
        <v>36</v>
      </c>
      <c r="C8" s="18">
        <v>41579</v>
      </c>
      <c r="D8" s="59"/>
      <c r="E8" s="19">
        <v>4.1387072754677512E-3</v>
      </c>
      <c r="F8" s="59"/>
      <c r="G8" s="59"/>
      <c r="H8" s="19">
        <v>8.8505449765270746E-3</v>
      </c>
      <c r="I8" s="59"/>
    </row>
    <row r="9" spans="1:9" x14ac:dyDescent="0.35">
      <c r="A9" s="3" t="s">
        <v>67</v>
      </c>
      <c r="B9" s="4" t="s">
        <v>36</v>
      </c>
      <c r="C9" s="18">
        <v>42522</v>
      </c>
      <c r="D9" s="59"/>
      <c r="E9" s="19">
        <v>1.6296780776602952E-2</v>
      </c>
      <c r="F9" s="59"/>
      <c r="G9" s="59"/>
      <c r="H9" s="19">
        <v>3.4140550824211149E-2</v>
      </c>
      <c r="I9" s="59"/>
    </row>
    <row r="10" spans="1:9" x14ac:dyDescent="0.35">
      <c r="A10" s="3" t="s">
        <v>68</v>
      </c>
      <c r="B10" s="4" t="s">
        <v>69</v>
      </c>
      <c r="C10" s="18">
        <v>42614</v>
      </c>
      <c r="D10" s="19">
        <v>2.0420082960278214E-2</v>
      </c>
      <c r="E10" s="19">
        <v>2.0420082960278214E-2</v>
      </c>
      <c r="F10" s="59"/>
      <c r="G10" s="19">
        <v>2.093063295597845E-2</v>
      </c>
      <c r="H10" s="19">
        <v>2.093063295597845E-2</v>
      </c>
      <c r="I10" s="59"/>
    </row>
    <row r="11" spans="1:9" x14ac:dyDescent="0.35">
      <c r="A11" s="3" t="s">
        <v>70</v>
      </c>
      <c r="B11" s="4" t="s">
        <v>64</v>
      </c>
      <c r="C11" s="18">
        <v>40299</v>
      </c>
      <c r="D11" s="59"/>
      <c r="E11" s="59"/>
      <c r="F11" s="59"/>
      <c r="G11" s="59"/>
      <c r="H11" s="59"/>
      <c r="I11" s="59"/>
    </row>
    <row r="12" spans="1:9" x14ac:dyDescent="0.35">
      <c r="A12" s="3" t="s">
        <v>71</v>
      </c>
      <c r="B12" s="4" t="s">
        <v>72</v>
      </c>
      <c r="C12" s="18">
        <v>42156</v>
      </c>
      <c r="D12" s="19">
        <v>7.7330185783741493E-3</v>
      </c>
      <c r="E12" s="19">
        <v>7.7330185783741493E-3</v>
      </c>
      <c r="F12" s="59"/>
      <c r="G12" s="19">
        <v>9.9202822812437669E-3</v>
      </c>
      <c r="H12" s="19">
        <v>9.9202822812437669E-3</v>
      </c>
      <c r="I12" s="59"/>
    </row>
    <row r="13" spans="1:9" x14ac:dyDescent="0.35">
      <c r="A13" s="3" t="s">
        <v>71</v>
      </c>
      <c r="B13" s="4" t="s">
        <v>69</v>
      </c>
      <c r="C13" s="18">
        <v>42156</v>
      </c>
      <c r="D13" s="19">
        <v>2.349077933126487E-2</v>
      </c>
      <c r="E13" s="19">
        <v>2.349077933126487E-2</v>
      </c>
      <c r="F13" s="59"/>
      <c r="G13" s="19">
        <v>3.0135083681843339E-2</v>
      </c>
      <c r="H13" s="19">
        <v>3.0135083681843339E-2</v>
      </c>
      <c r="I13" s="59"/>
    </row>
    <row r="14" spans="1:9" x14ac:dyDescent="0.35">
      <c r="A14" s="3" t="s">
        <v>71</v>
      </c>
      <c r="B14" s="4" t="s">
        <v>64</v>
      </c>
      <c r="C14" s="18">
        <v>43617</v>
      </c>
      <c r="D14" s="19">
        <v>2.863804485257377E-2</v>
      </c>
      <c r="E14" s="19">
        <v>2.863804485257377E-2</v>
      </c>
      <c r="F14" s="59"/>
      <c r="G14" s="19">
        <v>3.6149565974369448E-2</v>
      </c>
      <c r="H14" s="19">
        <v>3.6149565974369448E-2</v>
      </c>
      <c r="I14" s="59"/>
    </row>
    <row r="15" spans="1:9" x14ac:dyDescent="0.35">
      <c r="A15" s="3" t="s">
        <v>73</v>
      </c>
      <c r="B15" s="4" t="s">
        <v>37</v>
      </c>
      <c r="C15" s="18">
        <v>44166</v>
      </c>
      <c r="D15" s="59"/>
      <c r="E15" s="19">
        <v>1.2485026917163437E-2</v>
      </c>
      <c r="F15" s="59"/>
      <c r="G15" s="59"/>
      <c r="H15" s="19">
        <v>2.0336182863980257E-2</v>
      </c>
      <c r="I15" s="59"/>
    </row>
    <row r="16" spans="1:9" x14ac:dyDescent="0.35">
      <c r="A16" s="3" t="s">
        <v>74</v>
      </c>
      <c r="B16" s="4" t="s">
        <v>36</v>
      </c>
      <c r="C16" s="18">
        <v>41883</v>
      </c>
      <c r="D16" s="59"/>
      <c r="E16" s="59"/>
      <c r="F16" s="59"/>
      <c r="G16" s="59"/>
      <c r="H16" s="59"/>
      <c r="I16" s="59"/>
    </row>
    <row r="17" spans="1:9" x14ac:dyDescent="0.35">
      <c r="A17" s="3" t="s">
        <v>74</v>
      </c>
      <c r="B17" s="4" t="s">
        <v>64</v>
      </c>
      <c r="C17" s="18">
        <v>43891</v>
      </c>
      <c r="D17" s="59"/>
      <c r="E17" s="59"/>
      <c r="F17" s="59"/>
      <c r="G17" s="59"/>
      <c r="H17" s="59"/>
      <c r="I17" s="59"/>
    </row>
    <row r="18" spans="1:9" x14ac:dyDescent="0.35">
      <c r="A18" s="3" t="s">
        <v>74</v>
      </c>
      <c r="B18" s="4" t="s">
        <v>36</v>
      </c>
      <c r="C18" s="18">
        <v>44197</v>
      </c>
      <c r="D18" s="59"/>
      <c r="E18" s="59"/>
      <c r="F18" s="59"/>
      <c r="G18" s="59"/>
      <c r="H18" s="59"/>
      <c r="I18" s="59"/>
    </row>
    <row r="19" spans="1:9" x14ac:dyDescent="0.35">
      <c r="A19" s="3" t="s">
        <v>75</v>
      </c>
      <c r="B19" s="4" t="s">
        <v>69</v>
      </c>
      <c r="C19" s="18">
        <v>40787</v>
      </c>
      <c r="D19" s="59"/>
      <c r="E19" s="59"/>
      <c r="F19" s="59"/>
      <c r="G19" s="59"/>
      <c r="H19" s="59"/>
      <c r="I19" s="59"/>
    </row>
    <row r="20" spans="1:9" x14ac:dyDescent="0.35">
      <c r="A20" s="3" t="s">
        <v>75</v>
      </c>
      <c r="B20" s="4" t="s">
        <v>72</v>
      </c>
      <c r="C20" s="18">
        <v>42248</v>
      </c>
      <c r="D20" s="59"/>
      <c r="E20" s="59"/>
      <c r="F20" s="59"/>
      <c r="G20" s="59"/>
      <c r="H20" s="59"/>
      <c r="I20" s="59"/>
    </row>
    <row r="21" spans="1:9" x14ac:dyDescent="0.35">
      <c r="A21" s="3" t="s">
        <v>76</v>
      </c>
      <c r="B21" s="4" t="s">
        <v>37</v>
      </c>
      <c r="C21" s="18">
        <v>41244</v>
      </c>
      <c r="D21" s="19">
        <v>8.9284008813660467E-4</v>
      </c>
      <c r="E21" s="19">
        <v>8.9284008813660467E-4</v>
      </c>
      <c r="F21" s="19">
        <v>8.9284008813660467E-4</v>
      </c>
      <c r="G21" s="19">
        <v>9.165310715432539E-4</v>
      </c>
      <c r="H21" s="19">
        <v>9.165310715432539E-4</v>
      </c>
      <c r="I21" s="19">
        <v>9.165310715432539E-4</v>
      </c>
    </row>
    <row r="22" spans="1:9" x14ac:dyDescent="0.35">
      <c r="A22" s="3" t="s">
        <v>76</v>
      </c>
      <c r="B22" s="4" t="s">
        <v>69</v>
      </c>
      <c r="C22" s="18">
        <v>42339</v>
      </c>
      <c r="D22" s="19">
        <v>5.4999550394558359E-2</v>
      </c>
      <c r="E22" s="19">
        <v>5.4999550394558359E-2</v>
      </c>
      <c r="F22" s="19">
        <v>5.4999550394558359E-2</v>
      </c>
      <c r="G22" s="19">
        <v>4.9437703191603136E-2</v>
      </c>
      <c r="H22" s="19">
        <v>4.9437703191603136E-2</v>
      </c>
      <c r="I22" s="19">
        <v>4.9437703191603136E-2</v>
      </c>
    </row>
    <row r="23" spans="1:9" x14ac:dyDescent="0.35">
      <c r="A23" s="3" t="s">
        <v>77</v>
      </c>
      <c r="B23" s="4" t="s">
        <v>69</v>
      </c>
      <c r="C23" s="18">
        <v>41183</v>
      </c>
      <c r="D23" s="59"/>
      <c r="E23" s="59"/>
      <c r="F23" s="59"/>
      <c r="G23" s="59"/>
      <c r="H23" s="59"/>
      <c r="I23" s="59"/>
    </row>
    <row r="24" spans="1:9" x14ac:dyDescent="0.35">
      <c r="A24" s="3" t="s">
        <v>78</v>
      </c>
      <c r="B24" s="4" t="s">
        <v>36</v>
      </c>
      <c r="C24" s="18">
        <v>44470</v>
      </c>
      <c r="D24" s="59"/>
      <c r="E24" s="19">
        <v>2.7157272110210583E-2</v>
      </c>
      <c r="F24" s="59"/>
      <c r="G24" s="59"/>
      <c r="H24" s="19">
        <v>4.5400984083853894E-2</v>
      </c>
      <c r="I24" s="59"/>
    </row>
    <row r="25" spans="1:9" x14ac:dyDescent="0.35">
      <c r="A25" s="3" t="s">
        <v>78</v>
      </c>
      <c r="B25" s="4" t="s">
        <v>64</v>
      </c>
      <c r="C25" s="18">
        <v>44470</v>
      </c>
      <c r="D25" s="59"/>
      <c r="E25" s="19">
        <v>1.5919607901220042E-2</v>
      </c>
      <c r="F25" s="59"/>
      <c r="G25" s="59"/>
      <c r="H25" s="19">
        <v>2.6614081930295953E-2</v>
      </c>
      <c r="I25" s="59"/>
    </row>
    <row r="26" spans="1:9" x14ac:dyDescent="0.35">
      <c r="A26" s="3" t="s">
        <v>79</v>
      </c>
      <c r="B26" s="4" t="s">
        <v>72</v>
      </c>
      <c r="C26" s="18">
        <v>44287</v>
      </c>
      <c r="D26" s="59"/>
      <c r="E26" s="59"/>
      <c r="F26" s="59"/>
      <c r="G26" s="59"/>
      <c r="H26" s="59"/>
      <c r="I26" s="59"/>
    </row>
    <row r="27" spans="1:9" x14ac:dyDescent="0.35">
      <c r="A27" s="3" t="s">
        <v>79</v>
      </c>
      <c r="B27" s="4" t="s">
        <v>64</v>
      </c>
      <c r="C27" s="18">
        <v>44287</v>
      </c>
      <c r="D27" s="59"/>
      <c r="E27" s="59"/>
      <c r="F27" s="59"/>
      <c r="G27" s="59"/>
      <c r="H27" s="59"/>
      <c r="I27" s="59"/>
    </row>
    <row r="28" spans="1:9" x14ac:dyDescent="0.35">
      <c r="A28" s="3" t="s">
        <v>80</v>
      </c>
      <c r="B28" s="4" t="s">
        <v>69</v>
      </c>
      <c r="C28" s="18">
        <v>40664</v>
      </c>
      <c r="D28" s="59"/>
      <c r="E28" s="59"/>
      <c r="F28" s="59"/>
      <c r="G28" s="59"/>
      <c r="H28" s="59"/>
      <c r="I28" s="59"/>
    </row>
    <row r="29" spans="1:9" x14ac:dyDescent="0.35">
      <c r="A29" s="3" t="s">
        <v>81</v>
      </c>
      <c r="B29" s="4" t="s">
        <v>69</v>
      </c>
      <c r="C29" s="18">
        <v>40817</v>
      </c>
      <c r="D29" s="19">
        <v>1.2261633317116436E-2</v>
      </c>
      <c r="E29" s="19">
        <v>1.2261633317116436E-2</v>
      </c>
      <c r="F29" s="19">
        <v>1.2261633317116436E-2</v>
      </c>
      <c r="G29" s="19">
        <v>1.403225125025854E-2</v>
      </c>
      <c r="H29" s="19">
        <v>1.403225125025854E-2</v>
      </c>
      <c r="I29" s="19">
        <v>1.403225125025854E-2</v>
      </c>
    </row>
    <row r="30" spans="1:9" x14ac:dyDescent="0.35">
      <c r="A30" s="3" t="s">
        <v>81</v>
      </c>
      <c r="B30" s="4" t="s">
        <v>69</v>
      </c>
      <c r="C30" s="18">
        <v>42644</v>
      </c>
      <c r="D30" s="19">
        <v>1.4340401680003707E-2</v>
      </c>
      <c r="E30" s="19">
        <v>1.4340401680003707E-2</v>
      </c>
      <c r="F30" s="19">
        <v>1.4340401680003707E-2</v>
      </c>
      <c r="G30" s="19">
        <v>1.5002497729161901E-2</v>
      </c>
      <c r="H30" s="19">
        <v>1.5002497729161901E-2</v>
      </c>
      <c r="I30" s="19">
        <v>1.5002497729161901E-2</v>
      </c>
    </row>
    <row r="31" spans="1:9" x14ac:dyDescent="0.35">
      <c r="A31" s="3" t="s">
        <v>81</v>
      </c>
      <c r="B31" s="4" t="s">
        <v>64</v>
      </c>
      <c r="C31" s="18">
        <v>45170</v>
      </c>
      <c r="D31" s="19">
        <v>7.0934583072388528E-3</v>
      </c>
      <c r="E31" s="19">
        <v>7.0934583072388528E-3</v>
      </c>
      <c r="F31" s="19">
        <v>7.0934583072388528E-3</v>
      </c>
      <c r="G31" s="19">
        <v>8.1745264099526392E-3</v>
      </c>
      <c r="H31" s="19">
        <v>8.1745264099526392E-3</v>
      </c>
      <c r="I31" s="19">
        <v>8.1745264099526392E-3</v>
      </c>
    </row>
    <row r="32" spans="1:9" x14ac:dyDescent="0.35">
      <c r="A32" s="3" t="s">
        <v>82</v>
      </c>
      <c r="B32" s="4" t="s">
        <v>83</v>
      </c>
      <c r="C32" s="18">
        <v>41671</v>
      </c>
      <c r="D32" s="19">
        <v>3.5843588132481403E-2</v>
      </c>
      <c r="E32" s="19">
        <v>3.5843588132481403E-2</v>
      </c>
      <c r="F32" s="59"/>
      <c r="G32" s="19">
        <v>4.6929998333333833E-2</v>
      </c>
      <c r="H32" s="19">
        <v>4.6929998333333833E-2</v>
      </c>
      <c r="I32" s="59"/>
    </row>
    <row r="33" spans="1:9" x14ac:dyDescent="0.35">
      <c r="A33" s="3" t="s">
        <v>82</v>
      </c>
      <c r="B33" s="4" t="s">
        <v>84</v>
      </c>
      <c r="C33" s="18">
        <v>42005</v>
      </c>
      <c r="D33" s="19">
        <v>0.19178349167188191</v>
      </c>
      <c r="E33" s="19">
        <v>0.19178349167188191</v>
      </c>
      <c r="F33" s="59"/>
      <c r="G33" s="19">
        <v>0.21232940665057104</v>
      </c>
      <c r="H33" s="19">
        <v>0.21232940665057104</v>
      </c>
      <c r="I33" s="59"/>
    </row>
    <row r="34" spans="1:9" x14ac:dyDescent="0.35">
      <c r="A34" s="3" t="s">
        <v>85</v>
      </c>
      <c r="B34" s="4" t="s">
        <v>86</v>
      </c>
      <c r="C34" s="18">
        <v>41334</v>
      </c>
      <c r="D34" s="59"/>
      <c r="E34" s="19">
        <v>1.0435393804307575E-2</v>
      </c>
      <c r="F34" s="19">
        <v>1.0435393804307575E-2</v>
      </c>
      <c r="G34" s="59"/>
      <c r="H34" s="19">
        <v>1.6428297957702544E-2</v>
      </c>
      <c r="I34" s="19">
        <v>1.6428297957702544E-2</v>
      </c>
    </row>
    <row r="35" spans="1:9" x14ac:dyDescent="0.35">
      <c r="A35" s="3" t="s">
        <v>85</v>
      </c>
      <c r="B35" s="4" t="s">
        <v>87</v>
      </c>
      <c r="C35" s="18">
        <v>41334</v>
      </c>
      <c r="D35" s="59"/>
      <c r="E35" s="19">
        <v>1.3218753657768629E-2</v>
      </c>
      <c r="F35" s="19">
        <v>1.3218753657768629E-2</v>
      </c>
      <c r="G35" s="59"/>
      <c r="H35" s="19">
        <v>2.0810103364729014E-2</v>
      </c>
      <c r="I35" s="19">
        <v>2.0810103364729014E-2</v>
      </c>
    </row>
    <row r="36" spans="1:9" x14ac:dyDescent="0.35">
      <c r="A36" s="3" t="s">
        <v>85</v>
      </c>
      <c r="B36" s="4" t="s">
        <v>86</v>
      </c>
      <c r="C36" s="18">
        <v>42979</v>
      </c>
      <c r="D36" s="59"/>
      <c r="E36" s="19">
        <v>2.6928795852177664E-2</v>
      </c>
      <c r="F36" s="19">
        <v>2.6928795852177664E-2</v>
      </c>
      <c r="G36" s="59"/>
      <c r="H36" s="19">
        <v>3.752408182979735E-2</v>
      </c>
      <c r="I36" s="19">
        <v>3.752408182979735E-2</v>
      </c>
    </row>
    <row r="37" spans="1:9" x14ac:dyDescent="0.35">
      <c r="A37" s="3" t="s">
        <v>85</v>
      </c>
      <c r="B37" s="4" t="s">
        <v>64</v>
      </c>
      <c r="C37" s="18">
        <v>42979</v>
      </c>
      <c r="D37" s="59"/>
      <c r="E37" s="19">
        <v>6.0589790667399746E-3</v>
      </c>
      <c r="F37" s="19">
        <v>6.0589790667399746E-3</v>
      </c>
      <c r="G37" s="59"/>
      <c r="H37" s="19">
        <v>8.4429184117044039E-3</v>
      </c>
      <c r="I37" s="19">
        <v>8.4429184117044039E-3</v>
      </c>
    </row>
    <row r="38" spans="1:9" x14ac:dyDescent="0.35">
      <c r="A38" s="3" t="s">
        <v>85</v>
      </c>
      <c r="B38" s="4" t="s">
        <v>86</v>
      </c>
      <c r="C38" s="18">
        <v>43770</v>
      </c>
      <c r="D38" s="59"/>
      <c r="E38" s="19">
        <v>2.4362337453723643E-2</v>
      </c>
      <c r="F38" s="19">
        <v>2.4362337453723643E-2</v>
      </c>
      <c r="G38" s="59"/>
      <c r="H38" s="19">
        <v>3.4788975922811487E-2</v>
      </c>
      <c r="I38" s="19">
        <v>3.4788975922811487E-2</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19F12D-37B9-4565-A4C4-CE90DE6D57A0}">
  <sheetPr>
    <tabColor theme="9" tint="0.79998168889431442"/>
  </sheetPr>
  <dimension ref="A1:H6"/>
  <sheetViews>
    <sheetView workbookViewId="0">
      <pane xSplit="2" ySplit="1" topLeftCell="C2" activePane="bottomRight" state="frozen"/>
      <selection pane="topRight" activeCell="B1" sqref="B1"/>
      <selection pane="bottomLeft" activeCell="A2" sqref="A2"/>
      <selection pane="bottomRight"/>
    </sheetView>
  </sheetViews>
  <sheetFormatPr defaultRowHeight="14.5" x14ac:dyDescent="0.35"/>
  <cols>
    <col min="1" max="1" width="15.54296875" customWidth="1"/>
    <col min="2" max="2" width="10.6328125" style="60" customWidth="1"/>
    <col min="3" max="8" width="20.6328125" customWidth="1"/>
    <col min="9" max="16384" width="8.7265625" style="3"/>
  </cols>
  <sheetData>
    <row r="1" spans="1:8" ht="40" customHeight="1" x14ac:dyDescent="0.35">
      <c r="A1" s="61" t="s">
        <v>126</v>
      </c>
      <c r="B1" s="62" t="s">
        <v>184</v>
      </c>
      <c r="C1" s="63" t="s">
        <v>120</v>
      </c>
      <c r="D1" s="63" t="s">
        <v>121</v>
      </c>
      <c r="E1" s="63" t="s">
        <v>122</v>
      </c>
      <c r="F1" s="63" t="s">
        <v>123</v>
      </c>
      <c r="G1" s="63" t="s">
        <v>124</v>
      </c>
      <c r="H1" s="63" t="s">
        <v>125</v>
      </c>
    </row>
    <row r="2" spans="1:8" ht="14.5" customHeight="1" x14ac:dyDescent="0.35">
      <c r="A2" s="64" t="s">
        <v>127</v>
      </c>
      <c r="B2" s="65">
        <v>0</v>
      </c>
      <c r="C2" s="66" cm="1">
        <f t="array" ref="C2">_xlfn.PERCENTILE.INC(IF(ISNUMBER(S6A_cohort_data!D:D),S6A_cohort_data!D:D),$B2)</f>
        <v>8.9284008813660467E-4</v>
      </c>
      <c r="D2" s="66" cm="1">
        <f t="array" ref="D2">_xlfn.PERCENTILE.INC(IF(ISNUMBER(S6A_cohort_data!E:E),S6A_cohort_data!E:E),$B2)</f>
        <v>8.9284008813660467E-4</v>
      </c>
      <c r="E2" s="66" cm="1">
        <f t="array" ref="E2">_xlfn.PERCENTILE.INC(IF(ISNUMBER(S6A_cohort_data!F:F),S6A_cohort_data!F:F),$B2)</f>
        <v>8.9284008813660467E-4</v>
      </c>
      <c r="F2" s="66" cm="1">
        <f t="array" ref="F2">_xlfn.PERCENTILE.INC(IF(ISNUMBER(S6A_cohort_data!G:G),S6A_cohort_data!G:G),$B2)</f>
        <v>9.165310715432539E-4</v>
      </c>
      <c r="G2" s="66" cm="1">
        <f t="array" ref="G2">_xlfn.PERCENTILE.INC(IF(ISNUMBER(S6A_cohort_data!H:H),S6A_cohort_data!H:H),$B2)</f>
        <v>9.165310715432539E-4</v>
      </c>
      <c r="H2" s="66" cm="1">
        <f t="array" ref="H2">_xlfn.PERCENTILE.INC(IF(ISNUMBER(S6A_cohort_data!I:I),S6A_cohort_data!I:I),$B2)</f>
        <v>9.165310715432539E-4</v>
      </c>
    </row>
    <row r="3" spans="1:8" x14ac:dyDescent="0.35">
      <c r="A3" s="67" t="s">
        <v>20</v>
      </c>
      <c r="B3" s="68">
        <f>percentiles!$C$2</f>
        <v>0.31</v>
      </c>
      <c r="C3" s="66" cm="1">
        <f t="array" ref="C3">_xlfn.PERCENTILE.INC(IF(ISNUMBER(S6A_cohort_data!D:D),S6A_cohort_data!D:D),$B3)</f>
        <v>1.6295681083646506E-2</v>
      </c>
      <c r="D3" s="66" cm="1">
        <f t="array" ref="D3">_xlfn.PERCENTILE.INC(IF(ISNUMBER(S6A_cohort_data!E:E),S6A_cohort_data!E:E),$B3)</f>
        <v>1.2807866683029721E-2</v>
      </c>
      <c r="E3" s="66" cm="1">
        <f t="array" ref="E3">_xlfn.PERCENTILE.INC(IF(ISNUMBER(S6A_cohort_data!F:F),S6A_cohort_data!F:F),$B3)</f>
        <v>1.1184152004559208E-2</v>
      </c>
      <c r="F3" s="66" cm="1">
        <f t="array" ref="F3">_xlfn.PERCENTILE.INC(IF(ISNUMBER(S6A_cohort_data!G:G),S6A_cohort_data!G:G),$B3)</f>
        <v>1.7018063706279528E-2</v>
      </c>
      <c r="G3" s="66" cm="1">
        <f t="array" ref="G3">_xlfn.PERCENTILE.INC(IF(ISNUMBER(S6A_cohort_data!H:H),S6A_cohort_data!H:H),$B3)</f>
        <v>1.8147767316464735E-2</v>
      </c>
      <c r="H3" s="66" cm="1">
        <f t="array" ref="H3">_xlfn.PERCENTILE.INC(IF(ISNUMBER(S6A_cohort_data!I:I),S6A_cohort_data!I:I),$B3)</f>
        <v>1.4430052306608918E-2</v>
      </c>
    </row>
    <row r="4" spans="1:8" x14ac:dyDescent="0.35">
      <c r="A4" s="69" t="s">
        <v>128</v>
      </c>
      <c r="B4" s="70">
        <v>0.5</v>
      </c>
      <c r="C4" s="66" cm="1">
        <f t="array" ref="C4">_xlfn.PERCENTILE.INC(IF(ISNUMBER(S6A_cohort_data!D:D),S6A_cohort_data!D:D),$B4)</f>
        <v>2.349077933126487E-2</v>
      </c>
      <c r="D4" s="66" cm="1">
        <f t="array" ref="D4">_xlfn.PERCENTILE.INC(IF(ISNUMBER(S6A_cohort_data!E:E),S6A_cohort_data!E:E),$B4)</f>
        <v>2.0420082960278214E-2</v>
      </c>
      <c r="E4" s="66" cm="1">
        <f t="array" ref="E4">_xlfn.PERCENTILE.INC(IF(ISNUMBER(S6A_cohort_data!F:F),S6A_cohort_data!F:F),$B4)</f>
        <v>1.3779577668886168E-2</v>
      </c>
      <c r="F4" s="66" cm="1">
        <f t="array" ref="F4">_xlfn.PERCENTILE.INC(IF(ISNUMBER(S6A_cohort_data!G:G),S6A_cohort_data!G:G),$B4)</f>
        <v>3.0135083681843339E-2</v>
      </c>
      <c r="G4" s="66" cm="1">
        <f t="array" ref="G4">_xlfn.PERCENTILE.INC(IF(ISNUMBER(S6A_cohort_data!H:H),S6A_cohort_data!H:H),$B4)</f>
        <v>3.0135083681843339E-2</v>
      </c>
      <c r="H4" s="66" cm="1">
        <f t="array" ref="H4">_xlfn.PERCENTILE.INC(IF(ISNUMBER(S6A_cohort_data!I:I),S6A_cohort_data!I:I),$B4)</f>
        <v>1.8619200661215779E-2</v>
      </c>
    </row>
    <row r="5" spans="1:8" x14ac:dyDescent="0.35">
      <c r="A5" s="67" t="s">
        <v>21</v>
      </c>
      <c r="B5" s="68">
        <f>percentiles!$C$3</f>
        <v>0.69</v>
      </c>
      <c r="C5" s="66" cm="1">
        <f t="array" ref="C5">_xlfn.PERCENTILE.INC(IF(ISNUMBER(S6A_cohort_data!D:D),S6A_cohort_data!D:D),$B5)</f>
        <v>3.3514823645509471E-2</v>
      </c>
      <c r="D5" s="66" cm="1">
        <f t="array" ref="D5">_xlfn.PERCENTILE.INC(IF(ISNUMBER(S6A_cohort_data!E:E),S6A_cohort_data!E:E),$B5)</f>
        <v>2.7056742556676099E-2</v>
      </c>
      <c r="E5" s="66" cm="1">
        <f t="array" ref="E5">_xlfn.PERCENTILE.INC(IF(ISNUMBER(S6A_cohort_data!F:F),S6A_cohort_data!F:F),$B5)</f>
        <v>2.5876547908811515E-2</v>
      </c>
      <c r="F5" s="66" cm="1">
        <f t="array" ref="F5">_xlfn.PERCENTILE.INC(IF(ISNUMBER(S6A_cohort_data!G:G),S6A_cohort_data!G:G),$B5)</f>
        <v>3.9324710742507131E-2</v>
      </c>
      <c r="G5" s="66" cm="1">
        <f t="array" ref="G5">_xlfn.PERCENTILE.INC(IF(ISNUMBER(S6A_cohort_data!H:H),S6A_cohort_data!H:H),$B5)</f>
        <v>3.8991551159017375E-2</v>
      </c>
      <c r="H5" s="66" cm="1">
        <f t="array" ref="H5">_xlfn.PERCENTILE.INC(IF(ISNUMBER(S6A_cohort_data!I:I),S6A_cohort_data!I:I),$B5)</f>
        <v>3.6402688407933148E-2</v>
      </c>
    </row>
    <row r="6" spans="1:8" x14ac:dyDescent="0.35">
      <c r="A6" s="67" t="s">
        <v>129</v>
      </c>
      <c r="B6" s="68">
        <v>1</v>
      </c>
      <c r="C6" s="66" cm="1">
        <f t="array" ref="C6">_xlfn.PERCENTILE.INC(IF(ISNUMBER(S6A_cohort_data!D:D),S6A_cohort_data!D:D),$B6)</f>
        <v>0.19178349167188191</v>
      </c>
      <c r="D6" s="66" cm="1">
        <f t="array" ref="D6">_xlfn.PERCENTILE.INC(IF(ISNUMBER(S6A_cohort_data!E:E),S6A_cohort_data!E:E),$B6)</f>
        <v>0.19178349167188191</v>
      </c>
      <c r="E6" s="66" cm="1">
        <f t="array" ref="E6">_xlfn.PERCENTILE.INC(IF(ISNUMBER(S6A_cohort_data!F:F),S6A_cohort_data!F:F),$B6)</f>
        <v>6.1967636433732237E-2</v>
      </c>
      <c r="F6" s="66" cm="1">
        <f t="array" ref="F6">_xlfn.PERCENTILE.INC(IF(ISNUMBER(S6A_cohort_data!G:G),S6A_cohort_data!G:G),$B6)</f>
        <v>0.21232940665057104</v>
      </c>
      <c r="G6" s="66" cm="1">
        <f t="array" ref="G6">_xlfn.PERCENTILE.INC(IF(ISNUMBER(S6A_cohort_data!H:H),S6A_cohort_data!H:H),$B6)</f>
        <v>0.21232940665057104</v>
      </c>
      <c r="H6" s="66" cm="1">
        <f t="array" ref="H6">_xlfn.PERCENTILE.INC(IF(ISNUMBER(S6A_cohort_data!I:I),S6A_cohort_data!I:I),$B6)</f>
        <v>7.0296321215274613E-2</v>
      </c>
    </row>
  </sheetData>
  <sheetProtection algorithmName="SHA-512" hashValue="uaVyxTk7eunLTe7iDKZ2o3QBxY814lrxGzv/HwVcT7YCumn5xo5VYoLCoWDDEZwVqBF60nixH5XWsUQvqWVZTA==" saltValue="NkI4nfUcghxmR4oOJZUt+A==" spinCount="100000" sheet="1" objects="1" scenarios="1"/>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9999A8-FC74-4EBF-8D34-B59E023C4A1E}">
  <sheetPr>
    <tabColor theme="9" tint="0.79998168889431442"/>
  </sheetPr>
  <dimension ref="A1:O38"/>
  <sheetViews>
    <sheetView workbookViewId="0">
      <pane xSplit="3" ySplit="1" topLeftCell="D2" activePane="bottomRight" state="frozen"/>
      <selection pane="topRight" activeCell="D1" sqref="D1"/>
      <selection pane="bottomLeft" activeCell="A2" sqref="A2"/>
      <selection pane="bottomRight"/>
    </sheetView>
  </sheetViews>
  <sheetFormatPr defaultRowHeight="14.5" x14ac:dyDescent="0.35"/>
  <cols>
    <col min="1" max="1" width="20.6328125" style="3" customWidth="1"/>
    <col min="2" max="2" width="20.6328125" style="4" customWidth="1"/>
    <col min="3" max="3" width="17.6328125" style="3" customWidth="1"/>
    <col min="4" max="4" width="13.90625" style="3" customWidth="1"/>
    <col min="5" max="5" width="11.6328125" style="3" customWidth="1"/>
    <col min="6" max="7" width="18" style="3" customWidth="1"/>
    <col min="8" max="8" width="15.1796875" style="3" customWidth="1"/>
    <col min="9" max="10" width="16.36328125" style="3" customWidth="1"/>
    <col min="11" max="11" width="21.54296875" style="3" customWidth="1"/>
    <col min="12" max="12" width="15.453125" style="3" customWidth="1"/>
    <col min="13" max="14" width="16.36328125" style="3" customWidth="1"/>
    <col min="15" max="15" width="21.08984375" style="3" customWidth="1"/>
    <col min="16" max="16384" width="8.7265625" style="3"/>
  </cols>
  <sheetData>
    <row r="1" spans="1:15" ht="40" customHeight="1" x14ac:dyDescent="0.35">
      <c r="A1" s="16" t="s">
        <v>50</v>
      </c>
      <c r="B1" s="6" t="s">
        <v>51</v>
      </c>
      <c r="C1" s="17" t="s">
        <v>52</v>
      </c>
      <c r="D1" s="6" t="s">
        <v>119</v>
      </c>
      <c r="E1" s="17" t="s">
        <v>130</v>
      </c>
      <c r="F1" s="6" t="s">
        <v>131</v>
      </c>
      <c r="G1" s="6" t="s">
        <v>132</v>
      </c>
      <c r="H1" s="6" t="s">
        <v>133</v>
      </c>
      <c r="I1" s="6" t="s">
        <v>135</v>
      </c>
      <c r="J1" s="6" t="s">
        <v>136</v>
      </c>
      <c r="K1" s="6" t="s">
        <v>139</v>
      </c>
      <c r="L1" s="6" t="s">
        <v>134</v>
      </c>
      <c r="M1" s="6" t="s">
        <v>137</v>
      </c>
      <c r="N1" s="6" t="s">
        <v>138</v>
      </c>
      <c r="O1" s="6" t="s">
        <v>140</v>
      </c>
    </row>
    <row r="2" spans="1:15" x14ac:dyDescent="0.35">
      <c r="A2" s="3" t="s">
        <v>62</v>
      </c>
      <c r="B2" s="4" t="s">
        <v>36</v>
      </c>
      <c r="C2" s="18">
        <v>42401</v>
      </c>
      <c r="D2" s="19">
        <v>1</v>
      </c>
      <c r="E2" s="19">
        <f>D2/SUM($D:$D)</f>
        <v>5.128231667989315E-2</v>
      </c>
      <c r="F2" s="19">
        <v>4.0144562774833116E-2</v>
      </c>
      <c r="G2" s="19">
        <v>4.0144562774833116E-2</v>
      </c>
      <c r="H2" s="3">
        <v>32</v>
      </c>
      <c r="I2" s="19">
        <f>SUMIFS($E:$E,$H:$H,"&lt;"&amp;H2)</f>
        <v>0.79259481657078501</v>
      </c>
      <c r="J2" s="19">
        <f>I2+E2</f>
        <v>0.84387713325067815</v>
      </c>
      <c r="K2" s="4" t="str">
        <f>IF(AND(percentiles!$C$2&gt;S6B_num_weighting!I2,percentiles!$C$2&lt;S6B_num_weighting!J2),"lower",IF(AND(percentiles!$C$3&gt;S6B_num_weighting!I2,percentiles!$C$3&lt;S6B_num_weighting!J2),"upper","n/a"))</f>
        <v>n/a</v>
      </c>
      <c r="L2" s="3">
        <v>25</v>
      </c>
      <c r="M2" s="19">
        <f>SUMIFS($E:$E,$L:$L,"&lt;"&amp;L2)</f>
        <v>0.6337326687923287</v>
      </c>
      <c r="N2" s="19">
        <f>M2+E2</f>
        <v>0.68501498547222184</v>
      </c>
      <c r="O2" s="4" t="str">
        <f>IF(AND(percentiles!$C$2&gt;S6B_num_weighting!M2,percentiles!$C$2&lt;S6B_num_weighting!N2),"lower",IF(AND(percentiles!$C$3&gt;S6B_num_weighting!M2,percentiles!$C$3&lt;S6B_num_weighting!N2),"upper","n/a"))</f>
        <v>n/a</v>
      </c>
    </row>
    <row r="3" spans="1:15" x14ac:dyDescent="0.35">
      <c r="A3" s="3" t="s">
        <v>63</v>
      </c>
      <c r="B3" s="4" t="s">
        <v>36</v>
      </c>
      <c r="C3" s="18">
        <v>44713</v>
      </c>
      <c r="D3" s="19">
        <v>0.49653011175009393</v>
      </c>
      <c r="E3" s="19">
        <f t="shared" ref="E3:E38" si="0">D3/SUM($D:$D)</f>
        <v>2.5463214431871051E-2</v>
      </c>
      <c r="F3" s="19">
        <v>2.0091223455423701E-2</v>
      </c>
      <c r="G3" s="19">
        <v>2.6146771014783146E-2</v>
      </c>
      <c r="H3" s="3">
        <v>19</v>
      </c>
      <c r="I3" s="19">
        <f t="shared" ref="I3:I38" si="1">SUMIFS($E:$E,$H:$H,"&lt;"&amp;H3)</f>
        <v>0.45638642494358306</v>
      </c>
      <c r="J3" s="19">
        <f t="shared" ref="J3:J38" si="2">I3+E3</f>
        <v>0.48184963937545411</v>
      </c>
      <c r="K3" s="4" t="str">
        <f>IF(AND(percentiles!$C$2&gt;S6B_num_weighting!I3,percentiles!$C$2&lt;S6B_num_weighting!J3),"lower",IF(AND(percentiles!$C$3&gt;S6B_num_weighting!I3,percentiles!$C$3&lt;S6B_num_weighting!J3),"upper","n/a"))</f>
        <v>n/a</v>
      </c>
      <c r="L3" s="3">
        <v>16</v>
      </c>
      <c r="M3" s="19">
        <f t="shared" ref="M3:M38" si="3">SUMIFS($E:$E,$L:$L,"&lt;"&amp;L3)</f>
        <v>0.40259083185923417</v>
      </c>
      <c r="N3" s="19">
        <f t="shared" ref="N3:N38" si="4">M3+E3</f>
        <v>0.42805404629110522</v>
      </c>
      <c r="O3" s="4" t="str">
        <f>IF(AND(percentiles!$C$2&gt;S6B_num_weighting!M3,percentiles!$C$2&lt;S6B_num_weighting!N3),"lower",IF(AND(percentiles!$C$3&gt;S6B_num_weighting!M3,percentiles!$C$3&lt;S6B_num_weighting!N3),"upper","n/a"))</f>
        <v>n/a</v>
      </c>
    </row>
    <row r="4" spans="1:15" x14ac:dyDescent="0.35">
      <c r="A4" s="3" t="s">
        <v>63</v>
      </c>
      <c r="B4" s="4" t="s">
        <v>64</v>
      </c>
      <c r="C4" s="18">
        <v>44713</v>
      </c>
      <c r="D4" s="19">
        <v>0.49653011175009393</v>
      </c>
      <c r="E4" s="19">
        <f t="shared" si="0"/>
        <v>2.5463214431871051E-2</v>
      </c>
      <c r="F4" s="19">
        <v>2.8994280817858074E-2</v>
      </c>
      <c r="G4" s="19">
        <v>3.7733233267991988E-2</v>
      </c>
      <c r="H4" s="3">
        <v>27</v>
      </c>
      <c r="I4" s="19">
        <f t="shared" si="1"/>
        <v>0.67216365293405156</v>
      </c>
      <c r="J4" s="19">
        <f t="shared" si="2"/>
        <v>0.69762686736592261</v>
      </c>
      <c r="K4" s="4" t="str">
        <f>IF(AND(percentiles!$C$2&gt;S6B_num_weighting!I4,percentiles!$C$2&lt;S6B_num_weighting!J4),"lower",IF(AND(percentiles!$C$3&gt;S6B_num_weighting!I4,percentiles!$C$3&lt;S6B_num_weighting!J4),"upper","n/a"))</f>
        <v>upper</v>
      </c>
      <c r="L4" s="3">
        <v>24</v>
      </c>
      <c r="M4" s="19">
        <f t="shared" si="3"/>
        <v>0.60826945436045765</v>
      </c>
      <c r="N4" s="19">
        <f t="shared" si="4"/>
        <v>0.6337326687923287</v>
      </c>
      <c r="O4" s="4" t="str">
        <f>IF(AND(percentiles!$C$2&gt;S6B_num_weighting!M4,percentiles!$C$2&lt;S6B_num_weighting!N4),"lower",IF(AND(percentiles!$C$3&gt;S6B_num_weighting!M4,percentiles!$C$3&lt;S6B_num_weighting!N4),"upper","n/a"))</f>
        <v>n/a</v>
      </c>
    </row>
    <row r="5" spans="1:15" x14ac:dyDescent="0.35">
      <c r="A5" s="3" t="s">
        <v>65</v>
      </c>
      <c r="B5" s="4" t="s">
        <v>37</v>
      </c>
      <c r="C5" s="18">
        <v>42156</v>
      </c>
      <c r="D5" s="19">
        <v>0.84892767254867907</v>
      </c>
      <c r="E5" s="19">
        <f t="shared" si="0"/>
        <v>4.3534977741965998E-2</v>
      </c>
      <c r="F5" s="19">
        <v>6.1967636433732237E-2</v>
      </c>
      <c r="G5" s="19">
        <v>7.0296321215274613E-2</v>
      </c>
      <c r="H5" s="3">
        <v>36</v>
      </c>
      <c r="I5" s="19">
        <f t="shared" si="1"/>
        <v>0.92085570114266468</v>
      </c>
      <c r="J5" s="19">
        <f t="shared" si="2"/>
        <v>0.9643906788846307</v>
      </c>
      <c r="K5" s="4" t="str">
        <f>IF(AND(percentiles!$C$2&gt;S6B_num_weighting!I5,percentiles!$C$2&lt;S6B_num_weighting!J5),"lower",IF(AND(percentiles!$C$3&gt;S6B_num_weighting!I5,percentiles!$C$3&lt;S6B_num_weighting!J5),"upper","n/a"))</f>
        <v>n/a</v>
      </c>
      <c r="L5" s="3">
        <v>33</v>
      </c>
      <c r="M5" s="19">
        <f t="shared" si="3"/>
        <v>0.86064974679076311</v>
      </c>
      <c r="N5" s="19">
        <f t="shared" si="4"/>
        <v>0.90418472453272913</v>
      </c>
      <c r="O5" s="4" t="str">
        <f>IF(AND(percentiles!$C$2&gt;S6B_num_weighting!M5,percentiles!$C$2&lt;S6B_num_weighting!N5),"lower",IF(AND(percentiles!$C$3&gt;S6B_num_weighting!M5,percentiles!$C$3&lt;S6B_num_weighting!N5),"upper","n/a"))</f>
        <v>n/a</v>
      </c>
    </row>
    <row r="6" spans="1:15" x14ac:dyDescent="0.35">
      <c r="A6" s="3" t="s">
        <v>66</v>
      </c>
      <c r="B6" s="4" t="s">
        <v>36</v>
      </c>
      <c r="C6" s="18">
        <v>44986</v>
      </c>
      <c r="D6" s="19">
        <v>0.4428949592441786</v>
      </c>
      <c r="E6" s="19">
        <f t="shared" si="0"/>
        <v>2.2712679555888338E-2</v>
      </c>
      <c r="F6" s="19">
        <v>2.5280405349703935E-2</v>
      </c>
      <c r="G6" s="19">
        <v>4.9997736663720344E-2</v>
      </c>
      <c r="H6" s="3">
        <v>23</v>
      </c>
      <c r="I6" s="19">
        <f t="shared" si="1"/>
        <v>0.57058348740469977</v>
      </c>
      <c r="J6" s="19">
        <f t="shared" si="2"/>
        <v>0.59329616696058807</v>
      </c>
      <c r="K6" s="4" t="str">
        <f>IF(AND(percentiles!$C$2&gt;S6B_num_weighting!I6,percentiles!$C$2&lt;S6B_num_weighting!J6),"lower",IF(AND(percentiles!$C$3&gt;S6B_num_weighting!I6,percentiles!$C$3&lt;S6B_num_weighting!J6),"upper","n/a"))</f>
        <v>n/a</v>
      </c>
      <c r="L6" s="3">
        <v>31</v>
      </c>
      <c r="M6" s="19">
        <f t="shared" si="3"/>
        <v>0.82010395948216575</v>
      </c>
      <c r="N6" s="19">
        <f t="shared" si="4"/>
        <v>0.84281663903805404</v>
      </c>
      <c r="O6" s="4" t="str">
        <f>IF(AND(percentiles!$C$2&gt;S6B_num_weighting!M6,percentiles!$C$2&lt;S6B_num_weighting!N6),"lower",IF(AND(percentiles!$C$3&gt;S6B_num_weighting!M6,percentiles!$C$3&lt;S6B_num_weighting!N6),"upper","n/a"))</f>
        <v>n/a</v>
      </c>
    </row>
    <row r="7" spans="1:15" x14ac:dyDescent="0.35">
      <c r="A7" s="3" t="s">
        <v>66</v>
      </c>
      <c r="B7" s="4" t="s">
        <v>64</v>
      </c>
      <c r="C7" s="18">
        <v>44986</v>
      </c>
      <c r="D7" s="19">
        <v>0.4428949592441786</v>
      </c>
      <c r="E7" s="19">
        <f t="shared" si="0"/>
        <v>2.2712679555888338E-2</v>
      </c>
      <c r="F7" s="19">
        <v>4.6246517626479189E-2</v>
      </c>
      <c r="G7" s="19">
        <v>9.146298003998922E-2</v>
      </c>
      <c r="H7" s="3">
        <v>33</v>
      </c>
      <c r="I7" s="19">
        <f t="shared" si="1"/>
        <v>0.84387713325067826</v>
      </c>
      <c r="J7" s="19">
        <f t="shared" si="2"/>
        <v>0.86658981280656655</v>
      </c>
      <c r="K7" s="4" t="str">
        <f>IF(AND(percentiles!$C$2&gt;S6B_num_weighting!I7,percentiles!$C$2&lt;S6B_num_weighting!J7),"lower",IF(AND(percentiles!$C$3&gt;S6B_num_weighting!I7,percentiles!$C$3&lt;S6B_num_weighting!J7),"upper","n/a"))</f>
        <v>n/a</v>
      </c>
      <c r="L7" s="3">
        <v>36</v>
      </c>
      <c r="M7" s="19">
        <f t="shared" si="3"/>
        <v>0.9416779993287423</v>
      </c>
      <c r="N7" s="19">
        <f t="shared" si="4"/>
        <v>0.96439067888463059</v>
      </c>
      <c r="O7" s="4" t="str">
        <f>IF(AND(percentiles!$C$2&gt;S6B_num_weighting!M7,percentiles!$C$2&lt;S6B_num_weighting!N7),"lower",IF(AND(percentiles!$C$3&gt;S6B_num_weighting!M7,percentiles!$C$3&lt;S6B_num_weighting!N7),"upper","n/a"))</f>
        <v>n/a</v>
      </c>
    </row>
    <row r="8" spans="1:15" x14ac:dyDescent="0.35">
      <c r="A8" s="3" t="s">
        <v>67</v>
      </c>
      <c r="B8" s="4" t="s">
        <v>36</v>
      </c>
      <c r="C8" s="18">
        <v>41579</v>
      </c>
      <c r="D8" s="19">
        <v>0.44095100704467005</v>
      </c>
      <c r="E8" s="19">
        <f t="shared" si="0"/>
        <v>2.2612989183582566E-2</v>
      </c>
      <c r="F8" s="19">
        <v>4.1387072754677512E-3</v>
      </c>
      <c r="G8" s="19">
        <v>8.8505449765270746E-3</v>
      </c>
      <c r="H8" s="3">
        <v>4</v>
      </c>
      <c r="I8" s="19">
        <f t="shared" si="1"/>
        <v>7.5486957874484076E-2</v>
      </c>
      <c r="J8" s="19">
        <f t="shared" si="2"/>
        <v>9.8099947058066642E-2</v>
      </c>
      <c r="K8" s="4" t="str">
        <f>IF(AND(percentiles!$C$2&gt;S6B_num_weighting!I8,percentiles!$C$2&lt;S6B_num_weighting!J8),"lower",IF(AND(percentiles!$C$3&gt;S6B_num_weighting!I8,percentiles!$C$3&lt;S6B_num_weighting!J8),"upper","n/a"))</f>
        <v>n/a</v>
      </c>
      <c r="L8" s="3">
        <v>6</v>
      </c>
      <c r="M8" s="19">
        <f t="shared" si="3"/>
        <v>0.13511497896042451</v>
      </c>
      <c r="N8" s="19">
        <f t="shared" si="4"/>
        <v>0.15772796814400708</v>
      </c>
      <c r="O8" s="4" t="str">
        <f>IF(AND(percentiles!$C$2&gt;S6B_num_weighting!M8,percentiles!$C$2&lt;S6B_num_weighting!N8),"lower",IF(AND(percentiles!$C$3&gt;S6B_num_weighting!M8,percentiles!$C$3&lt;S6B_num_weighting!N8),"upper","n/a"))</f>
        <v>n/a</v>
      </c>
    </row>
    <row r="9" spans="1:15" x14ac:dyDescent="0.35">
      <c r="A9" s="3" t="s">
        <v>67</v>
      </c>
      <c r="B9" s="4" t="s">
        <v>36</v>
      </c>
      <c r="C9" s="18">
        <v>42522</v>
      </c>
      <c r="D9" s="19">
        <v>0.44760651724832079</v>
      </c>
      <c r="E9" s="19">
        <f t="shared" si="0"/>
        <v>2.2954299165512441E-2</v>
      </c>
      <c r="F9" s="19">
        <v>1.6296780776602952E-2</v>
      </c>
      <c r="G9" s="19">
        <v>3.4140550824211149E-2</v>
      </c>
      <c r="H9" s="3">
        <v>16</v>
      </c>
      <c r="I9" s="19">
        <f t="shared" si="1"/>
        <v>0.3925325882925681</v>
      </c>
      <c r="J9" s="19">
        <f t="shared" si="2"/>
        <v>0.41548688745808054</v>
      </c>
      <c r="K9" s="4" t="str">
        <f>IF(AND(percentiles!$C$2&gt;S6B_num_weighting!I9,percentiles!$C$2&lt;S6B_num_weighting!J9),"lower",IF(AND(percentiles!$C$3&gt;S6B_num_weighting!I9,percentiles!$C$3&lt;S6B_num_weighting!J9),"upper","n/a"))</f>
        <v>n/a</v>
      </c>
      <c r="L9" s="3">
        <v>20</v>
      </c>
      <c r="M9" s="19">
        <f t="shared" si="3"/>
        <v>0.50488316057072979</v>
      </c>
      <c r="N9" s="19">
        <f t="shared" si="4"/>
        <v>0.52783745973624219</v>
      </c>
      <c r="O9" s="4" t="str">
        <f>IF(AND(percentiles!$C$2&gt;S6B_num_weighting!M9,percentiles!$C$2&lt;S6B_num_weighting!N9),"lower",IF(AND(percentiles!$C$3&gt;S6B_num_weighting!M9,percentiles!$C$3&lt;S6B_num_weighting!N9),"upper","n/a"))</f>
        <v>n/a</v>
      </c>
    </row>
    <row r="10" spans="1:15" x14ac:dyDescent="0.35">
      <c r="A10" s="3" t="s">
        <v>68</v>
      </c>
      <c r="B10" s="4" t="s">
        <v>69</v>
      </c>
      <c r="C10" s="18">
        <v>42614</v>
      </c>
      <c r="D10" s="19">
        <v>0.65598027152796179</v>
      </c>
      <c r="E10" s="19">
        <f t="shared" si="0"/>
        <v>3.3640188020259233E-2</v>
      </c>
      <c r="F10" s="19">
        <v>2.0420082960278214E-2</v>
      </c>
      <c r="G10" s="19">
        <v>2.093063295597845E-2</v>
      </c>
      <c r="H10" s="3">
        <v>20</v>
      </c>
      <c r="I10" s="19">
        <f t="shared" si="1"/>
        <v>0.48184963937545416</v>
      </c>
      <c r="J10" s="19">
        <f t="shared" si="2"/>
        <v>0.51548982739571336</v>
      </c>
      <c r="K10" s="4" t="str">
        <f>IF(AND(percentiles!$C$2&gt;S6B_num_weighting!I10,percentiles!$C$2&lt;S6B_num_weighting!J10),"lower",IF(AND(percentiles!$C$3&gt;S6B_num_weighting!I10,percentiles!$C$3&lt;S6B_num_weighting!J10),"upper","n/a"))</f>
        <v>n/a</v>
      </c>
      <c r="L10" s="3">
        <v>13</v>
      </c>
      <c r="M10" s="19">
        <f t="shared" si="3"/>
        <v>0.32991894432732816</v>
      </c>
      <c r="N10" s="19">
        <f t="shared" si="4"/>
        <v>0.36355913234758741</v>
      </c>
      <c r="O10" s="4" t="str">
        <f>IF(AND(percentiles!$C$2&gt;S6B_num_weighting!M10,percentiles!$C$2&lt;S6B_num_weighting!N10),"lower",IF(AND(percentiles!$C$3&gt;S6B_num_weighting!M10,percentiles!$C$3&lt;S6B_num_weighting!N10),"upper","n/a"))</f>
        <v>n/a</v>
      </c>
    </row>
    <row r="11" spans="1:15" x14ac:dyDescent="0.35">
      <c r="A11" s="3" t="s">
        <v>70</v>
      </c>
      <c r="B11" s="4" t="s">
        <v>64</v>
      </c>
      <c r="C11" s="18">
        <v>40299</v>
      </c>
      <c r="D11" s="19">
        <v>0.47939459478862889</v>
      </c>
      <c r="E11" s="19">
        <f t="shared" si="0"/>
        <v>2.4584465424579521E-2</v>
      </c>
      <c r="F11" s="19">
        <v>3.4452797995303028E-2</v>
      </c>
      <c r="G11" s="19">
        <v>4.1916463395283321E-2</v>
      </c>
      <c r="H11" s="3">
        <v>30</v>
      </c>
      <c r="I11" s="19">
        <f t="shared" si="1"/>
        <v>0.73247621837111243</v>
      </c>
      <c r="J11" s="19">
        <f t="shared" si="2"/>
        <v>0.75706068379569191</v>
      </c>
      <c r="K11" s="4" t="str">
        <f>IF(AND(percentiles!$C$2&gt;S6B_num_weighting!I11,percentiles!$C$2&lt;S6B_num_weighting!J11),"lower",IF(AND(percentiles!$C$3&gt;S6B_num_weighting!I11,percentiles!$C$3&lt;S6B_num_weighting!J11),"upper","n/a"))</f>
        <v>n/a</v>
      </c>
      <c r="L11" s="3">
        <v>26</v>
      </c>
      <c r="M11" s="19">
        <f t="shared" si="3"/>
        <v>0.68501498547222184</v>
      </c>
      <c r="N11" s="19">
        <f t="shared" si="4"/>
        <v>0.70959945089680132</v>
      </c>
      <c r="O11" s="4" t="str">
        <f>IF(AND(percentiles!$C$2&gt;S6B_num_weighting!M11,percentiles!$C$2&lt;S6B_num_weighting!N11),"lower",IF(AND(percentiles!$C$3&gt;S6B_num_weighting!M11,percentiles!$C$3&lt;S6B_num_weighting!N11),"upper","n/a"))</f>
        <v>upper</v>
      </c>
    </row>
    <row r="12" spans="1:15" x14ac:dyDescent="0.35">
      <c r="A12" s="3" t="s">
        <v>71</v>
      </c>
      <c r="B12" s="4" t="s">
        <v>72</v>
      </c>
      <c r="C12" s="18">
        <v>42156</v>
      </c>
      <c r="D12" s="19">
        <v>0.5839675124580137</v>
      </c>
      <c r="E12" s="19">
        <f t="shared" si="0"/>
        <v>2.9947206904641307E-2</v>
      </c>
      <c r="F12" s="19">
        <v>7.7330185783741493E-3</v>
      </c>
      <c r="G12" s="19">
        <v>9.9202822812437669E-3</v>
      </c>
      <c r="H12" s="3">
        <v>8</v>
      </c>
      <c r="I12" s="19">
        <f t="shared" si="1"/>
        <v>0.17452613222359947</v>
      </c>
      <c r="J12" s="19">
        <f t="shared" si="2"/>
        <v>0.20447333912824078</v>
      </c>
      <c r="K12" s="4" t="str">
        <f>IF(AND(percentiles!$C$2&gt;S6B_num_weighting!I12,percentiles!$C$2&lt;S6B_num_weighting!J12),"lower",IF(AND(percentiles!$C$3&gt;S6B_num_weighting!I12,percentiles!$C$3&lt;S6B_num_weighting!J12),"upper","n/a"))</f>
        <v>n/a</v>
      </c>
      <c r="L12" s="3">
        <v>7</v>
      </c>
      <c r="M12" s="19">
        <f t="shared" si="3"/>
        <v>0.15772796814400708</v>
      </c>
      <c r="N12" s="19">
        <f t="shared" si="4"/>
        <v>0.18767517504864839</v>
      </c>
      <c r="O12" s="4" t="str">
        <f>IF(AND(percentiles!$C$2&gt;S6B_num_weighting!M12,percentiles!$C$2&lt;S6B_num_weighting!N12),"lower",IF(AND(percentiles!$C$3&gt;S6B_num_weighting!M12,percentiles!$C$3&lt;S6B_num_weighting!N12),"upper","n/a"))</f>
        <v>n/a</v>
      </c>
    </row>
    <row r="13" spans="1:15" x14ac:dyDescent="0.35">
      <c r="A13" s="3" t="s">
        <v>71</v>
      </c>
      <c r="B13" s="4" t="s">
        <v>69</v>
      </c>
      <c r="C13" s="18">
        <v>42156</v>
      </c>
      <c r="D13" s="19">
        <v>0.5839675124580137</v>
      </c>
      <c r="E13" s="19">
        <f t="shared" si="0"/>
        <v>2.9947206904641307E-2</v>
      </c>
      <c r="F13" s="19">
        <v>2.349077933126487E-2</v>
      </c>
      <c r="G13" s="19">
        <v>3.0135083681843339E-2</v>
      </c>
      <c r="H13" s="3">
        <v>21</v>
      </c>
      <c r="I13" s="19">
        <f t="shared" si="1"/>
        <v>0.51548982739571336</v>
      </c>
      <c r="J13" s="19">
        <f t="shared" si="2"/>
        <v>0.54543703430035462</v>
      </c>
      <c r="K13" s="4" t="str">
        <f>IF(AND(percentiles!$C$2&gt;S6B_num_weighting!I13,percentiles!$C$2&lt;S6B_num_weighting!J13),"lower",IF(AND(percentiles!$C$3&gt;S6B_num_weighting!I13,percentiles!$C$3&lt;S6B_num_weighting!J13),"upper","n/a"))</f>
        <v>n/a</v>
      </c>
      <c r="L13" s="3">
        <v>19</v>
      </c>
      <c r="M13" s="19">
        <f t="shared" si="3"/>
        <v>0.47493595366608848</v>
      </c>
      <c r="N13" s="19">
        <f t="shared" si="4"/>
        <v>0.50488316057072979</v>
      </c>
      <c r="O13" s="4" t="str">
        <f>IF(AND(percentiles!$C$2&gt;S6B_num_weighting!M13,percentiles!$C$2&lt;S6B_num_weighting!N13),"lower",IF(AND(percentiles!$C$3&gt;S6B_num_weighting!M13,percentiles!$C$3&lt;S6B_num_weighting!N13),"upper","n/a"))</f>
        <v>n/a</v>
      </c>
    </row>
    <row r="14" spans="1:15" x14ac:dyDescent="0.35">
      <c r="A14" s="3" t="s">
        <v>71</v>
      </c>
      <c r="B14" s="4" t="s">
        <v>64</v>
      </c>
      <c r="C14" s="18">
        <v>43617</v>
      </c>
      <c r="D14" s="19">
        <v>0.58802938329937693</v>
      </c>
      <c r="E14" s="19">
        <f t="shared" si="0"/>
        <v>3.0155509051440921E-2</v>
      </c>
      <c r="F14" s="19">
        <v>2.863804485257377E-2</v>
      </c>
      <c r="G14" s="19">
        <v>3.6149565974369448E-2</v>
      </c>
      <c r="H14" s="3">
        <v>26</v>
      </c>
      <c r="I14" s="19">
        <f t="shared" si="1"/>
        <v>0.64200814388261074</v>
      </c>
      <c r="J14" s="19">
        <f t="shared" si="2"/>
        <v>0.67216365293405167</v>
      </c>
      <c r="K14" s="4" t="str">
        <f>IF(AND(percentiles!$C$2&gt;S6B_num_weighting!I14,percentiles!$C$2&lt;S6B_num_weighting!J14),"lower",IF(AND(percentiles!$C$3&gt;S6B_num_weighting!I14,percentiles!$C$3&lt;S6B_num_weighting!J14),"upper","n/a"))</f>
        <v>n/a</v>
      </c>
      <c r="L14" s="3">
        <v>22</v>
      </c>
      <c r="M14" s="19">
        <f t="shared" si="3"/>
        <v>0.55298391284058734</v>
      </c>
      <c r="N14" s="19">
        <f t="shared" si="4"/>
        <v>0.58313942189202828</v>
      </c>
      <c r="O14" s="4" t="str">
        <f>IF(AND(percentiles!$C$2&gt;S6B_num_weighting!M14,percentiles!$C$2&lt;S6B_num_weighting!N14),"lower",IF(AND(percentiles!$C$3&gt;S6B_num_weighting!M14,percentiles!$C$3&lt;S6B_num_weighting!N14),"upper","n/a"))</f>
        <v>n/a</v>
      </c>
    </row>
    <row r="15" spans="1:15" x14ac:dyDescent="0.35">
      <c r="A15" s="3" t="s">
        <v>73</v>
      </c>
      <c r="B15" s="4" t="s">
        <v>37</v>
      </c>
      <c r="C15" s="18">
        <v>44166</v>
      </c>
      <c r="D15" s="19">
        <v>0.44699527334523209</v>
      </c>
      <c r="E15" s="19">
        <f t="shared" si="0"/>
        <v>2.2922953162105596E-2</v>
      </c>
      <c r="F15" s="19">
        <v>1.2485026917163437E-2</v>
      </c>
      <c r="G15" s="19">
        <v>2.0336182863980257E-2</v>
      </c>
      <c r="H15" s="3">
        <v>11</v>
      </c>
      <c r="I15" s="19">
        <f t="shared" si="1"/>
        <v>0.26419262456317799</v>
      </c>
      <c r="J15" s="19">
        <f t="shared" si="2"/>
        <v>0.28711557772528357</v>
      </c>
      <c r="K15" s="4" t="str">
        <f>IF(AND(percentiles!$C$2&gt;S6B_num_weighting!I15,percentiles!$C$2&lt;S6B_num_weighting!J15),"lower",IF(AND(percentiles!$C$3&gt;S6B_num_weighting!I15,percentiles!$C$3&lt;S6B_num_weighting!J15),"upper","n/a"))</f>
        <v>n/a</v>
      </c>
      <c r="L15" s="3">
        <v>11</v>
      </c>
      <c r="M15" s="19">
        <f t="shared" si="3"/>
        <v>0.28210546262424313</v>
      </c>
      <c r="N15" s="19">
        <f t="shared" si="4"/>
        <v>0.30502841578634871</v>
      </c>
      <c r="O15" s="4" t="str">
        <f>IF(AND(percentiles!$C$2&gt;S6B_num_weighting!M15,percentiles!$C$2&lt;S6B_num_weighting!N15),"lower",IF(AND(percentiles!$C$3&gt;S6B_num_weighting!M15,percentiles!$C$3&lt;S6B_num_weighting!N15),"upper","n/a"))</f>
        <v>n/a</v>
      </c>
    </row>
    <row r="16" spans="1:15" x14ac:dyDescent="0.35">
      <c r="A16" s="3" t="s">
        <v>74</v>
      </c>
      <c r="B16" s="4" t="s">
        <v>36</v>
      </c>
      <c r="C16" s="18">
        <v>41883</v>
      </c>
      <c r="D16" s="19">
        <v>0.33181502619503361</v>
      </c>
      <c r="E16" s="19">
        <f t="shared" si="0"/>
        <v>1.7016243252480755E-2</v>
      </c>
      <c r="F16" s="19">
        <v>3.3105999383324619E-2</v>
      </c>
      <c r="G16" s="19">
        <v>7.7906564955532082E-2</v>
      </c>
      <c r="H16" s="3">
        <v>29</v>
      </c>
      <c r="I16" s="19">
        <f t="shared" si="1"/>
        <v>0.71545997511863169</v>
      </c>
      <c r="J16" s="19">
        <f t="shared" si="2"/>
        <v>0.73247621837111243</v>
      </c>
      <c r="K16" s="4" t="str">
        <f>IF(AND(percentiles!$C$2&gt;S6B_num_weighting!I16,percentiles!$C$2&lt;S6B_num_weighting!J16),"lower",IF(AND(percentiles!$C$3&gt;S6B_num_weighting!I16,percentiles!$C$3&lt;S6B_num_weighting!J16),"upper","n/a"))</f>
        <v>n/a</v>
      </c>
      <c r="L16" s="3">
        <v>34</v>
      </c>
      <c r="M16" s="19">
        <f t="shared" si="3"/>
        <v>0.90418472453272913</v>
      </c>
      <c r="N16" s="19">
        <f t="shared" si="4"/>
        <v>0.92120096778520988</v>
      </c>
      <c r="O16" s="4" t="str">
        <f>IF(AND(percentiles!$C$2&gt;S6B_num_weighting!M16,percentiles!$C$2&lt;S6B_num_weighting!N16),"lower",IF(AND(percentiles!$C$3&gt;S6B_num_weighting!M16,percentiles!$C$3&lt;S6B_num_weighting!N16),"upper","n/a"))</f>
        <v>n/a</v>
      </c>
    </row>
    <row r="17" spans="1:15" x14ac:dyDescent="0.35">
      <c r="A17" s="3" t="s">
        <v>74</v>
      </c>
      <c r="B17" s="4" t="s">
        <v>64</v>
      </c>
      <c r="C17" s="18">
        <v>43891</v>
      </c>
      <c r="D17" s="19">
        <v>0.3431899279038011</v>
      </c>
      <c r="E17" s="19">
        <f t="shared" si="0"/>
        <v>1.7599574564112427E-2</v>
      </c>
      <c r="F17" s="19">
        <v>1.9788213816471455E-2</v>
      </c>
      <c r="G17" s="19">
        <v>4.2321078317141055E-2</v>
      </c>
      <c r="H17" s="3">
        <v>18</v>
      </c>
      <c r="I17" s="19">
        <f t="shared" si="1"/>
        <v>0.43878685037947063</v>
      </c>
      <c r="J17" s="19">
        <f t="shared" si="2"/>
        <v>0.45638642494358306</v>
      </c>
      <c r="K17" s="4" t="str">
        <f>IF(AND(percentiles!$C$2&gt;S6B_num_weighting!I17,percentiles!$C$2&lt;S6B_num_weighting!J17),"lower",IF(AND(percentiles!$C$3&gt;S6B_num_weighting!I17,percentiles!$C$3&lt;S6B_num_weighting!J17),"upper","n/a"))</f>
        <v>n/a</v>
      </c>
      <c r="L17" s="3">
        <v>27</v>
      </c>
      <c r="M17" s="19">
        <f t="shared" si="3"/>
        <v>0.70959945089680132</v>
      </c>
      <c r="N17" s="19">
        <f t="shared" si="4"/>
        <v>0.72719902546091375</v>
      </c>
      <c r="O17" s="4" t="str">
        <f>IF(AND(percentiles!$C$2&gt;S6B_num_weighting!M17,percentiles!$C$2&lt;S6B_num_weighting!N17),"lower",IF(AND(percentiles!$C$3&gt;S6B_num_weighting!M17,percentiles!$C$3&lt;S6B_num_weighting!N17),"upper","n/a"))</f>
        <v>n/a</v>
      </c>
    </row>
    <row r="18" spans="1:15" x14ac:dyDescent="0.35">
      <c r="A18" s="3" t="s">
        <v>74</v>
      </c>
      <c r="B18" s="4" t="s">
        <v>36</v>
      </c>
      <c r="C18" s="18">
        <v>44197</v>
      </c>
      <c r="D18" s="19">
        <v>0.34774380151396506</v>
      </c>
      <c r="E18" s="19">
        <f t="shared" si="0"/>
        <v>1.7833107752709063E-2</v>
      </c>
      <c r="F18" s="19">
        <v>3.001173345162212E-2</v>
      </c>
      <c r="G18" s="19">
        <v>6.5814275406279016E-2</v>
      </c>
      <c r="H18" s="3">
        <v>28</v>
      </c>
      <c r="I18" s="19">
        <f t="shared" si="1"/>
        <v>0.69762686736592261</v>
      </c>
      <c r="J18" s="19">
        <f t="shared" si="2"/>
        <v>0.71545997511863169</v>
      </c>
      <c r="K18" s="4" t="str">
        <f>IF(AND(percentiles!$C$2&gt;S6B_num_weighting!I18,percentiles!$C$2&lt;S6B_num_weighting!J18),"lower",IF(AND(percentiles!$C$3&gt;S6B_num_weighting!I18,percentiles!$C$3&lt;S6B_num_weighting!J18),"upper","n/a"))</f>
        <v>n/a</v>
      </c>
      <c r="L18" s="3">
        <v>32</v>
      </c>
      <c r="M18" s="19">
        <f t="shared" si="3"/>
        <v>0.84281663903805404</v>
      </c>
      <c r="N18" s="19">
        <f t="shared" si="4"/>
        <v>0.86064974679076311</v>
      </c>
      <c r="O18" s="4" t="str">
        <f>IF(AND(percentiles!$C$2&gt;S6B_num_weighting!M18,percentiles!$C$2&lt;S6B_num_weighting!N18),"lower",IF(AND(percentiles!$C$3&gt;S6B_num_weighting!M18,percentiles!$C$3&lt;S6B_num_weighting!N18),"upper","n/a"))</f>
        <v>n/a</v>
      </c>
    </row>
    <row r="19" spans="1:15" x14ac:dyDescent="0.35">
      <c r="A19" s="3" t="s">
        <v>75</v>
      </c>
      <c r="B19" s="4" t="s">
        <v>69</v>
      </c>
      <c r="C19" s="18">
        <v>40787</v>
      </c>
      <c r="D19" s="19">
        <v>0.45434692560458334</v>
      </c>
      <c r="E19" s="19">
        <f t="shared" si="0"/>
        <v>2.3299962921390097E-2</v>
      </c>
      <c r="F19" s="19">
        <v>1.7927381148290546E-2</v>
      </c>
      <c r="G19" s="19">
        <v>2.6449417077351961E-2</v>
      </c>
      <c r="H19" s="3">
        <v>17</v>
      </c>
      <c r="I19" s="19">
        <f t="shared" si="1"/>
        <v>0.41548688745808054</v>
      </c>
      <c r="J19" s="19">
        <f t="shared" si="2"/>
        <v>0.43878685037947063</v>
      </c>
      <c r="K19" s="4" t="str">
        <f>IF(AND(percentiles!$C$2&gt;S6B_num_weighting!I19,percentiles!$C$2&lt;S6B_num_weighting!J19),"lower",IF(AND(percentiles!$C$3&gt;S6B_num_weighting!I19,percentiles!$C$3&lt;S6B_num_weighting!J19),"upper","n/a"))</f>
        <v>n/a</v>
      </c>
      <c r="L19" s="3">
        <v>17</v>
      </c>
      <c r="M19" s="19">
        <f t="shared" si="3"/>
        <v>0.42805404629110522</v>
      </c>
      <c r="N19" s="19">
        <f t="shared" si="4"/>
        <v>0.4513540092124953</v>
      </c>
      <c r="O19" s="4" t="str">
        <f>IF(AND(percentiles!$C$2&gt;S6B_num_weighting!M19,percentiles!$C$2&lt;S6B_num_weighting!N19),"lower",IF(AND(percentiles!$C$3&gt;S6B_num_weighting!M19,percentiles!$C$3&lt;S6B_num_weighting!N19),"upper","n/a"))</f>
        <v>n/a</v>
      </c>
    </row>
    <row r="20" spans="1:15" x14ac:dyDescent="0.35">
      <c r="A20" s="3" t="s">
        <v>75</v>
      </c>
      <c r="B20" s="4" t="s">
        <v>72</v>
      </c>
      <c r="C20" s="18">
        <v>42248</v>
      </c>
      <c r="D20" s="19">
        <v>0.43355169718320691</v>
      </c>
      <c r="E20" s="19">
        <f t="shared" si="0"/>
        <v>2.2233535432054356E-2</v>
      </c>
      <c r="F20" s="19">
        <v>1.5849168646700881E-2</v>
      </c>
      <c r="G20" s="19">
        <v>2.1417293395748216E-2</v>
      </c>
      <c r="H20" s="3">
        <v>14</v>
      </c>
      <c r="I20" s="19">
        <f t="shared" si="1"/>
        <v>0.34671710840692055</v>
      </c>
      <c r="J20" s="19">
        <f t="shared" si="2"/>
        <v>0.36895064383897491</v>
      </c>
      <c r="K20" s="4" t="str">
        <f>IF(AND(percentiles!$C$2&gt;S6B_num_weighting!I20,percentiles!$C$2&lt;S6B_num_weighting!J20),"lower",IF(AND(percentiles!$C$3&gt;S6B_num_weighting!I20,percentiles!$C$3&lt;S6B_num_weighting!J20),"upper","n/a"))</f>
        <v>n/a</v>
      </c>
      <c r="L20" s="3">
        <v>14</v>
      </c>
      <c r="M20" s="19">
        <f t="shared" si="3"/>
        <v>0.36355913234758741</v>
      </c>
      <c r="N20" s="19">
        <f t="shared" si="4"/>
        <v>0.38579266777964177</v>
      </c>
      <c r="O20" s="4" t="str">
        <f>IF(AND(percentiles!$C$2&gt;S6B_num_weighting!M20,percentiles!$C$2&lt;S6B_num_weighting!N20),"lower",IF(AND(percentiles!$C$3&gt;S6B_num_weighting!M20,percentiles!$C$3&lt;S6B_num_weighting!N20),"upper","n/a"))</f>
        <v>n/a</v>
      </c>
    </row>
    <row r="21" spans="1:15" x14ac:dyDescent="0.35">
      <c r="A21" s="3" t="s">
        <v>76</v>
      </c>
      <c r="B21" s="4" t="s">
        <v>37</v>
      </c>
      <c r="C21" s="18">
        <v>41244</v>
      </c>
      <c r="D21" s="19">
        <v>0.65517321492117819</v>
      </c>
      <c r="E21" s="19">
        <f t="shared" si="0"/>
        <v>3.3598800287771555E-2</v>
      </c>
      <c r="F21" s="19">
        <v>8.9284008813660467E-4</v>
      </c>
      <c r="G21" s="19">
        <v>9.165310715432539E-4</v>
      </c>
      <c r="H21" s="3">
        <v>1</v>
      </c>
      <c r="I21" s="19">
        <f t="shared" si="1"/>
        <v>0</v>
      </c>
      <c r="J21" s="19">
        <f t="shared" si="2"/>
        <v>3.3598800287771555E-2</v>
      </c>
      <c r="K21" s="4" t="str">
        <f>IF(AND(percentiles!$C$2&gt;S6B_num_weighting!I21,percentiles!$C$2&lt;S6B_num_weighting!J21),"lower",IF(AND(percentiles!$C$3&gt;S6B_num_weighting!I21,percentiles!$C$3&lt;S6B_num_weighting!J21),"upper","n/a"))</f>
        <v>n/a</v>
      </c>
      <c r="L21" s="3">
        <v>1</v>
      </c>
      <c r="M21" s="19">
        <f t="shared" si="3"/>
        <v>0</v>
      </c>
      <c r="N21" s="19">
        <f t="shared" si="4"/>
        <v>3.3598800287771555E-2</v>
      </c>
      <c r="O21" s="4" t="str">
        <f>IF(AND(percentiles!$C$2&gt;S6B_num_weighting!M21,percentiles!$C$2&lt;S6B_num_weighting!N21),"lower",IF(AND(percentiles!$C$3&gt;S6B_num_weighting!M21,percentiles!$C$3&lt;S6B_num_weighting!N21),"upper","n/a"))</f>
        <v>n/a</v>
      </c>
    </row>
    <row r="22" spans="1:15" x14ac:dyDescent="0.35">
      <c r="A22" s="3" t="s">
        <v>76</v>
      </c>
      <c r="B22" s="4" t="s">
        <v>69</v>
      </c>
      <c r="C22" s="18">
        <v>42339</v>
      </c>
      <c r="D22" s="19">
        <v>0.65887929758472985</v>
      </c>
      <c r="E22" s="19">
        <f t="shared" si="0"/>
        <v>3.3788856792565672E-2</v>
      </c>
      <c r="F22" s="19">
        <v>5.4999550394558359E-2</v>
      </c>
      <c r="G22" s="19">
        <v>4.9437703191603136E-2</v>
      </c>
      <c r="H22" s="3">
        <v>35</v>
      </c>
      <c r="I22" s="19">
        <f t="shared" si="1"/>
        <v>0.88706684435009897</v>
      </c>
      <c r="J22" s="19">
        <f t="shared" si="2"/>
        <v>0.92085570114266468</v>
      </c>
      <c r="K22" s="4" t="str">
        <f>IF(AND(percentiles!$C$2&gt;S6B_num_weighting!I22,percentiles!$C$2&lt;S6B_num_weighting!J22),"lower",IF(AND(percentiles!$C$3&gt;S6B_num_weighting!I22,percentiles!$C$3&lt;S6B_num_weighting!J22),"upper","n/a"))</f>
        <v>n/a</v>
      </c>
      <c r="L22" s="3">
        <v>30</v>
      </c>
      <c r="M22" s="19">
        <f t="shared" si="3"/>
        <v>0.78631510268960003</v>
      </c>
      <c r="N22" s="19">
        <f t="shared" si="4"/>
        <v>0.82010395948216575</v>
      </c>
      <c r="O22" s="4" t="str">
        <f>IF(AND(percentiles!$C$2&gt;S6B_num_weighting!M22,percentiles!$C$2&lt;S6B_num_weighting!N22),"lower",IF(AND(percentiles!$C$3&gt;S6B_num_weighting!M22,percentiles!$C$3&lt;S6B_num_weighting!N22),"upper","n/a"))</f>
        <v>n/a</v>
      </c>
    </row>
    <row r="23" spans="1:15" x14ac:dyDescent="0.35">
      <c r="A23" s="3" t="s">
        <v>77</v>
      </c>
      <c r="B23" s="4" t="s">
        <v>69</v>
      </c>
      <c r="C23" s="18">
        <v>41183</v>
      </c>
      <c r="D23" s="19">
        <v>0.32756250433160794</v>
      </c>
      <c r="E23" s="19">
        <f t="shared" si="0"/>
        <v>1.6798164079592389E-2</v>
      </c>
      <c r="F23" s="19">
        <v>7.5285643121897304E-3</v>
      </c>
      <c r="G23" s="19">
        <v>2.1766436553181782E-2</v>
      </c>
      <c r="H23" s="3">
        <v>7</v>
      </c>
      <c r="I23" s="19">
        <f t="shared" si="1"/>
        <v>0.15772796814400708</v>
      </c>
      <c r="J23" s="19">
        <f t="shared" si="2"/>
        <v>0.17452613222359947</v>
      </c>
      <c r="K23" s="4" t="str">
        <f>IF(AND(percentiles!$C$2&gt;S6B_num_weighting!I23,percentiles!$C$2&lt;S6B_num_weighting!J23),"lower",IF(AND(percentiles!$C$3&gt;S6B_num_weighting!I23,percentiles!$C$3&lt;S6B_num_weighting!J23),"upper","n/a"))</f>
        <v>n/a</v>
      </c>
      <c r="L23" s="3">
        <v>15</v>
      </c>
      <c r="M23" s="19">
        <f t="shared" si="3"/>
        <v>0.38579266777964177</v>
      </c>
      <c r="N23" s="19">
        <f t="shared" si="4"/>
        <v>0.40259083185923417</v>
      </c>
      <c r="O23" s="4" t="str">
        <f>IF(AND(percentiles!$C$2&gt;S6B_num_weighting!M23,percentiles!$C$2&lt;S6B_num_weighting!N23),"lower",IF(AND(percentiles!$C$3&gt;S6B_num_weighting!M23,percentiles!$C$3&lt;S6B_num_weighting!N23),"upper","n/a"))</f>
        <v>n/a</v>
      </c>
    </row>
    <row r="24" spans="1:15" x14ac:dyDescent="0.35">
      <c r="A24" s="3" t="s">
        <v>78</v>
      </c>
      <c r="B24" s="4" t="s">
        <v>36</v>
      </c>
      <c r="C24" s="18">
        <v>44470</v>
      </c>
      <c r="D24" s="19">
        <v>0.45984553702581071</v>
      </c>
      <c r="E24" s="19">
        <f t="shared" si="0"/>
        <v>2.3581944453593157E-2</v>
      </c>
      <c r="F24" s="19">
        <v>2.7157272110210583E-2</v>
      </c>
      <c r="G24" s="19">
        <v>4.5400984083853894E-2</v>
      </c>
      <c r="H24" s="3">
        <v>25</v>
      </c>
      <c r="I24" s="19">
        <f t="shared" si="1"/>
        <v>0.61842619942901755</v>
      </c>
      <c r="J24" s="19">
        <f t="shared" si="2"/>
        <v>0.64200814388261074</v>
      </c>
      <c r="K24" s="4" t="str">
        <f>IF(AND(percentiles!$C$2&gt;S6B_num_weighting!I24,percentiles!$C$2&lt;S6B_num_weighting!J24),"lower",IF(AND(percentiles!$C$3&gt;S6B_num_weighting!I24,percentiles!$C$3&lt;S6B_num_weighting!J24),"upper","n/a"))</f>
        <v>n/a</v>
      </c>
      <c r="L24" s="3">
        <v>28</v>
      </c>
      <c r="M24" s="19">
        <f t="shared" si="3"/>
        <v>0.72719902546091375</v>
      </c>
      <c r="N24" s="19">
        <f t="shared" si="4"/>
        <v>0.75078096991450693</v>
      </c>
      <c r="O24" s="4" t="str">
        <f>IF(AND(percentiles!$C$2&gt;S6B_num_weighting!M24,percentiles!$C$2&lt;S6B_num_weighting!N24),"lower",IF(AND(percentiles!$C$3&gt;S6B_num_weighting!M24,percentiles!$C$3&lt;S6B_num_weighting!N24),"upper","n/a"))</f>
        <v>n/a</v>
      </c>
    </row>
    <row r="25" spans="1:15" x14ac:dyDescent="0.35">
      <c r="A25" s="3" t="s">
        <v>78</v>
      </c>
      <c r="B25" s="4" t="s">
        <v>64</v>
      </c>
      <c r="C25" s="18">
        <v>44470</v>
      </c>
      <c r="D25" s="19">
        <v>0.45984553702581071</v>
      </c>
      <c r="E25" s="19">
        <f t="shared" si="0"/>
        <v>2.3581944453593157E-2</v>
      </c>
      <c r="F25" s="19">
        <v>1.5919607901220042E-2</v>
      </c>
      <c r="G25" s="19">
        <v>2.6614081930295953E-2</v>
      </c>
      <c r="H25" s="3">
        <v>15</v>
      </c>
      <c r="I25" s="19">
        <f t="shared" si="1"/>
        <v>0.36895064383897491</v>
      </c>
      <c r="J25" s="19">
        <f t="shared" si="2"/>
        <v>0.3925325882925681</v>
      </c>
      <c r="K25" s="4" t="str">
        <f>IF(AND(percentiles!$C$2&gt;S6B_num_weighting!I25,percentiles!$C$2&lt;S6B_num_weighting!J25),"lower",IF(AND(percentiles!$C$3&gt;S6B_num_weighting!I25,percentiles!$C$3&lt;S6B_num_weighting!J25),"upper","n/a"))</f>
        <v>n/a</v>
      </c>
      <c r="L25" s="3">
        <v>18</v>
      </c>
      <c r="M25" s="19">
        <f t="shared" si="3"/>
        <v>0.45135400921249536</v>
      </c>
      <c r="N25" s="19">
        <f t="shared" si="4"/>
        <v>0.47493595366608854</v>
      </c>
      <c r="O25" s="4" t="str">
        <f>IF(AND(percentiles!$C$2&gt;S6B_num_weighting!M25,percentiles!$C$2&lt;S6B_num_weighting!N25),"lower",IF(AND(percentiles!$C$3&gt;S6B_num_weighting!M25,percentiles!$C$3&lt;S6B_num_weighting!N25),"upper","n/a"))</f>
        <v>n/a</v>
      </c>
    </row>
    <row r="26" spans="1:15" x14ac:dyDescent="0.35">
      <c r="A26" s="3" t="s">
        <v>79</v>
      </c>
      <c r="B26" s="4" t="s">
        <v>72</v>
      </c>
      <c r="C26" s="18">
        <v>44287</v>
      </c>
      <c r="D26" s="19">
        <v>0.3993000486181455</v>
      </c>
      <c r="E26" s="19">
        <f t="shared" si="0"/>
        <v>2.0477031543532469E-2</v>
      </c>
      <c r="F26" s="19">
        <v>2.7443952009282022E-3</v>
      </c>
      <c r="G26" s="19">
        <v>4.6253284444158962E-3</v>
      </c>
      <c r="H26" s="3">
        <v>3</v>
      </c>
      <c r="I26" s="19">
        <f t="shared" si="1"/>
        <v>5.5009926330951614E-2</v>
      </c>
      <c r="J26" s="19">
        <f t="shared" si="2"/>
        <v>7.548695787448409E-2</v>
      </c>
      <c r="K26" s="4" t="str">
        <f>IF(AND(percentiles!$C$2&gt;S6B_num_weighting!I26,percentiles!$C$2&lt;S6B_num_weighting!J26),"lower",IF(AND(percentiles!$C$3&gt;S6B_num_weighting!I26,percentiles!$C$3&lt;S6B_num_weighting!J26),"upper","n/a"))</f>
        <v>n/a</v>
      </c>
      <c r="L26" s="3">
        <v>3</v>
      </c>
      <c r="M26" s="19">
        <f t="shared" si="3"/>
        <v>5.5009926330951614E-2</v>
      </c>
      <c r="N26" s="19">
        <f t="shared" si="4"/>
        <v>7.548695787448409E-2</v>
      </c>
      <c r="O26" s="4" t="str">
        <f>IF(AND(percentiles!$C$2&gt;S6B_num_weighting!M26,percentiles!$C$2&lt;S6B_num_weighting!N26),"lower",IF(AND(percentiles!$C$3&gt;S6B_num_weighting!M26,percentiles!$C$3&lt;S6B_num_weighting!N26),"upper","n/a"))</f>
        <v>n/a</v>
      </c>
    </row>
    <row r="27" spans="1:15" x14ac:dyDescent="0.35">
      <c r="A27" s="3" t="s">
        <v>79</v>
      </c>
      <c r="B27" s="4" t="s">
        <v>64</v>
      </c>
      <c r="C27" s="18">
        <v>44287</v>
      </c>
      <c r="D27" s="19">
        <v>0.3993000486181455</v>
      </c>
      <c r="E27" s="19">
        <f t="shared" si="0"/>
        <v>2.0477031543532469E-2</v>
      </c>
      <c r="F27" s="19">
        <v>4.6766539702016871E-2</v>
      </c>
      <c r="G27" s="19">
        <v>7.8819044085736617E-2</v>
      </c>
      <c r="H27" s="3">
        <v>34</v>
      </c>
      <c r="I27" s="19">
        <f t="shared" si="1"/>
        <v>0.86658981280656655</v>
      </c>
      <c r="J27" s="19">
        <f t="shared" si="2"/>
        <v>0.88706684435009897</v>
      </c>
      <c r="K27" s="4" t="str">
        <f>IF(AND(percentiles!$C$2&gt;S6B_num_weighting!I27,percentiles!$C$2&lt;S6B_num_weighting!J27),"lower",IF(AND(percentiles!$C$3&gt;S6B_num_weighting!I27,percentiles!$C$3&lt;S6B_num_weighting!J27),"upper","n/a"))</f>
        <v>n/a</v>
      </c>
      <c r="L27" s="3">
        <v>35</v>
      </c>
      <c r="M27" s="19">
        <f t="shared" si="3"/>
        <v>0.92120096778520988</v>
      </c>
      <c r="N27" s="19">
        <f t="shared" si="4"/>
        <v>0.9416779993287423</v>
      </c>
      <c r="O27" s="4" t="str">
        <f>IF(AND(percentiles!$C$2&gt;S6B_num_weighting!M27,percentiles!$C$2&lt;S6B_num_weighting!N27),"lower",IF(AND(percentiles!$C$3&gt;S6B_num_weighting!M27,percentiles!$C$3&lt;S6B_num_weighting!N27),"upper","n/a"))</f>
        <v>n/a</v>
      </c>
    </row>
    <row r="28" spans="1:15" x14ac:dyDescent="0.35">
      <c r="A28" s="3" t="s">
        <v>80</v>
      </c>
      <c r="B28" s="4" t="s">
        <v>69</v>
      </c>
      <c r="C28" s="18">
        <v>40664</v>
      </c>
      <c r="D28" s="19">
        <v>0.41751479709525219</v>
      </c>
      <c r="E28" s="19">
        <f t="shared" si="0"/>
        <v>2.1411126043180056E-2</v>
      </c>
      <c r="F28" s="19">
        <v>1.7778916748278342E-3</v>
      </c>
      <c r="G28" s="19">
        <v>2.7867019546446575E-3</v>
      </c>
      <c r="H28" s="3">
        <v>2</v>
      </c>
      <c r="I28" s="19">
        <f t="shared" si="1"/>
        <v>3.3598800287771555E-2</v>
      </c>
      <c r="J28" s="19">
        <f t="shared" si="2"/>
        <v>5.5009926330951614E-2</v>
      </c>
      <c r="K28" s="4" t="str">
        <f>IF(AND(percentiles!$C$2&gt;S6B_num_weighting!I28,percentiles!$C$2&lt;S6B_num_weighting!J28),"lower",IF(AND(percentiles!$C$3&gt;S6B_num_weighting!I28,percentiles!$C$3&lt;S6B_num_weighting!J28),"upper","n/a"))</f>
        <v>n/a</v>
      </c>
      <c r="L28" s="3">
        <v>2</v>
      </c>
      <c r="M28" s="19">
        <f t="shared" si="3"/>
        <v>3.3598800287771555E-2</v>
      </c>
      <c r="N28" s="19">
        <f t="shared" si="4"/>
        <v>5.5009926330951614E-2</v>
      </c>
      <c r="O28" s="4" t="str">
        <f>IF(AND(percentiles!$C$2&gt;S6B_num_weighting!M28,percentiles!$C$2&lt;S6B_num_weighting!N28),"lower",IF(AND(percentiles!$C$3&gt;S6B_num_weighting!M28,percentiles!$C$3&lt;S6B_num_weighting!N28),"upper","n/a"))</f>
        <v>n/a</v>
      </c>
    </row>
    <row r="29" spans="1:15" x14ac:dyDescent="0.35">
      <c r="A29" s="3" t="s">
        <v>81</v>
      </c>
      <c r="B29" s="4" t="s">
        <v>69</v>
      </c>
      <c r="C29" s="18">
        <v>40817</v>
      </c>
      <c r="D29" s="19">
        <v>0.67915724461827043</v>
      </c>
      <c r="E29" s="19">
        <f t="shared" si="0"/>
        <v>3.4828756893957806E-2</v>
      </c>
      <c r="F29" s="19">
        <v>1.2261633317116436E-2</v>
      </c>
      <c r="G29" s="19">
        <v>1.403225125025854E-2</v>
      </c>
      <c r="H29" s="3">
        <v>10</v>
      </c>
      <c r="I29" s="19">
        <f t="shared" si="1"/>
        <v>0.22936386766922018</v>
      </c>
      <c r="J29" s="19">
        <f t="shared" si="2"/>
        <v>0.26419262456317799</v>
      </c>
      <c r="K29" s="4" t="str">
        <f>IF(AND(percentiles!$C$2&gt;S6B_num_weighting!I29,percentiles!$C$2&lt;S6B_num_weighting!J29),"lower",IF(AND(percentiles!$C$3&gt;S6B_num_weighting!I29,percentiles!$C$3&lt;S6B_num_weighting!J29),"upper","n/a"))</f>
        <v>n/a</v>
      </c>
      <c r="L29" s="3">
        <v>8</v>
      </c>
      <c r="M29" s="19">
        <f t="shared" si="3"/>
        <v>0.18767517504864839</v>
      </c>
      <c r="N29" s="19">
        <f t="shared" si="4"/>
        <v>0.2225039319426062</v>
      </c>
      <c r="O29" s="4" t="str">
        <f>IF(AND(percentiles!$C$2&gt;S6B_num_weighting!M29,percentiles!$C$2&lt;S6B_num_weighting!N29),"lower",IF(AND(percentiles!$C$3&gt;S6B_num_weighting!M29,percentiles!$C$3&lt;S6B_num_weighting!N29),"upper","n/a"))</f>
        <v>n/a</v>
      </c>
    </row>
    <row r="30" spans="1:15" x14ac:dyDescent="0.35">
      <c r="A30" s="3" t="s">
        <v>81</v>
      </c>
      <c r="B30" s="4" t="s">
        <v>69</v>
      </c>
      <c r="C30" s="18">
        <v>42644</v>
      </c>
      <c r="D30" s="19">
        <v>0.67686103881237303</v>
      </c>
      <c r="E30" s="19">
        <f t="shared" si="0"/>
        <v>3.4711002140657567E-2</v>
      </c>
      <c r="F30" s="19">
        <v>1.4340401680003707E-2</v>
      </c>
      <c r="G30" s="19">
        <v>1.5002497729161901E-2</v>
      </c>
      <c r="H30" s="3">
        <v>13</v>
      </c>
      <c r="I30" s="19">
        <f t="shared" si="1"/>
        <v>0.31200610626626296</v>
      </c>
      <c r="J30" s="19">
        <f t="shared" si="2"/>
        <v>0.34671710840692055</v>
      </c>
      <c r="K30" s="4" t="str">
        <f>IF(AND(percentiles!$C$2&gt;S6B_num_weighting!I30,percentiles!$C$2&lt;S6B_num_weighting!J30),"lower",IF(AND(percentiles!$C$3&gt;S6B_num_weighting!I30,percentiles!$C$3&lt;S6B_num_weighting!J30),"upper","n/a"))</f>
        <v>n/a</v>
      </c>
      <c r="L30" s="3">
        <v>9</v>
      </c>
      <c r="M30" s="19">
        <f t="shared" si="3"/>
        <v>0.2225039319426062</v>
      </c>
      <c r="N30" s="19">
        <f t="shared" si="4"/>
        <v>0.25721493408326379</v>
      </c>
      <c r="O30" s="4" t="str">
        <f>IF(AND(percentiles!$C$2&gt;S6B_num_weighting!M30,percentiles!$C$2&lt;S6B_num_weighting!N30),"lower",IF(AND(percentiles!$C$3&gt;S6B_num_weighting!M30,percentiles!$C$3&lt;S6B_num_weighting!N30),"upper","n/a"))</f>
        <v>n/a</v>
      </c>
    </row>
    <row r="31" spans="1:15" x14ac:dyDescent="0.35">
      <c r="A31" s="3" t="s">
        <v>81</v>
      </c>
      <c r="B31" s="4" t="s">
        <v>64</v>
      </c>
      <c r="C31" s="18">
        <v>45170</v>
      </c>
      <c r="D31" s="19">
        <v>0.67270729660770356</v>
      </c>
      <c r="E31" s="19">
        <f t="shared" si="0"/>
        <v>3.4497988617511063E-2</v>
      </c>
      <c r="F31" s="19">
        <v>7.0934583072388528E-3</v>
      </c>
      <c r="G31" s="19">
        <v>8.1745264099526392E-3</v>
      </c>
      <c r="H31" s="3">
        <v>6</v>
      </c>
      <c r="I31" s="19">
        <f t="shared" si="1"/>
        <v>0.12322997952649602</v>
      </c>
      <c r="J31" s="19">
        <f t="shared" si="2"/>
        <v>0.15772796814400708</v>
      </c>
      <c r="K31" s="4" t="str">
        <f>IF(AND(percentiles!$C$2&gt;S6B_num_weighting!I31,percentiles!$C$2&lt;S6B_num_weighting!J31),"lower",IF(AND(percentiles!$C$3&gt;S6B_num_weighting!I31,percentiles!$C$3&lt;S6B_num_weighting!J31),"upper","n/a"))</f>
        <v>n/a</v>
      </c>
      <c r="L31" s="3">
        <v>4</v>
      </c>
      <c r="M31" s="19">
        <f t="shared" si="3"/>
        <v>7.5486957874484076E-2</v>
      </c>
      <c r="N31" s="19">
        <f t="shared" si="4"/>
        <v>0.10998494649199514</v>
      </c>
      <c r="O31" s="4" t="str">
        <f>IF(AND(percentiles!$C$2&gt;S6B_num_weighting!M31,percentiles!$C$2&lt;S6B_num_weighting!N31),"lower",IF(AND(percentiles!$C$3&gt;S6B_num_weighting!M31,percentiles!$C$3&lt;S6B_num_weighting!N31),"upper","n/a"))</f>
        <v>n/a</v>
      </c>
    </row>
    <row r="32" spans="1:15" x14ac:dyDescent="0.35">
      <c r="A32" s="3" t="s">
        <v>82</v>
      </c>
      <c r="B32" s="4" t="s">
        <v>83</v>
      </c>
      <c r="C32" s="18">
        <v>41671</v>
      </c>
      <c r="D32" s="19">
        <v>0.69291200311598489</v>
      </c>
      <c r="E32" s="19">
        <f t="shared" si="0"/>
        <v>3.5534132775093048E-2</v>
      </c>
      <c r="F32" s="19">
        <v>3.5843588132481403E-2</v>
      </c>
      <c r="G32" s="19">
        <v>4.6929998333333833E-2</v>
      </c>
      <c r="H32" s="3">
        <v>31</v>
      </c>
      <c r="I32" s="19">
        <f t="shared" si="1"/>
        <v>0.75706068379569191</v>
      </c>
      <c r="J32" s="19">
        <f t="shared" si="2"/>
        <v>0.79259481657078501</v>
      </c>
      <c r="K32" s="4" t="str">
        <f>IF(AND(percentiles!$C$2&gt;S6B_num_weighting!I32,percentiles!$C$2&lt;S6B_num_weighting!J32),"lower",IF(AND(percentiles!$C$3&gt;S6B_num_weighting!I32,percentiles!$C$3&lt;S6B_num_weighting!J32),"upper","n/a"))</f>
        <v>n/a</v>
      </c>
      <c r="L32" s="3">
        <v>29</v>
      </c>
      <c r="M32" s="19">
        <f t="shared" si="3"/>
        <v>0.75078096991450693</v>
      </c>
      <c r="N32" s="19">
        <f t="shared" si="4"/>
        <v>0.78631510268960003</v>
      </c>
      <c r="O32" s="4" t="str">
        <f>IF(AND(percentiles!$C$2&gt;S6B_num_weighting!M32,percentiles!$C$2&lt;S6B_num_weighting!N32),"lower",IF(AND(percentiles!$C$3&gt;S6B_num_weighting!M32,percentiles!$C$3&lt;S6B_num_weighting!N32),"upper","n/a"))</f>
        <v>n/a</v>
      </c>
    </row>
    <row r="33" spans="1:15" x14ac:dyDescent="0.35">
      <c r="A33" s="3" t="s">
        <v>82</v>
      </c>
      <c r="B33" s="4" t="s">
        <v>84</v>
      </c>
      <c r="C33" s="18">
        <v>42005</v>
      </c>
      <c r="D33" s="19">
        <v>0.6943781681635891</v>
      </c>
      <c r="E33" s="19">
        <f t="shared" si="0"/>
        <v>3.5609321115369276E-2</v>
      </c>
      <c r="F33" s="19">
        <v>0.19178349167188191</v>
      </c>
      <c r="G33" s="19">
        <v>0.21232940665057104</v>
      </c>
      <c r="H33" s="3">
        <v>37</v>
      </c>
      <c r="I33" s="19">
        <f t="shared" si="1"/>
        <v>0.9643906788846307</v>
      </c>
      <c r="J33" s="19">
        <f t="shared" si="2"/>
        <v>1</v>
      </c>
      <c r="K33" s="4" t="str">
        <f>IF(AND(percentiles!$C$2&gt;S6B_num_weighting!I33,percentiles!$C$2&lt;S6B_num_weighting!J33),"lower",IF(AND(percentiles!$C$3&gt;S6B_num_weighting!I33,percentiles!$C$3&lt;S6B_num_weighting!J33),"upper","n/a"))</f>
        <v>n/a</v>
      </c>
      <c r="L33" s="3">
        <v>37</v>
      </c>
      <c r="M33" s="19">
        <f t="shared" si="3"/>
        <v>0.9643906788846307</v>
      </c>
      <c r="N33" s="19">
        <f t="shared" si="4"/>
        <v>1</v>
      </c>
      <c r="O33" s="4" t="str">
        <f>IF(AND(percentiles!$C$2&gt;S6B_num_weighting!M33,percentiles!$C$2&lt;S6B_num_weighting!N33),"lower",IF(AND(percentiles!$C$3&gt;S6B_num_weighting!M33,percentiles!$C$3&lt;S6B_num_weighting!N33),"upper","n/a"))</f>
        <v>n/a</v>
      </c>
    </row>
    <row r="34" spans="1:15" x14ac:dyDescent="0.35">
      <c r="A34" s="3" t="s">
        <v>85</v>
      </c>
      <c r="B34" s="4" t="s">
        <v>86</v>
      </c>
      <c r="C34" s="18">
        <v>41334</v>
      </c>
      <c r="D34" s="19">
        <v>0.48536279467145255</v>
      </c>
      <c r="E34" s="19">
        <f t="shared" si="0"/>
        <v>2.4890528540979385E-2</v>
      </c>
      <c r="F34" s="19">
        <v>1.0435393804307575E-2</v>
      </c>
      <c r="G34" s="19">
        <v>1.6428297957702544E-2</v>
      </c>
      <c r="H34" s="3">
        <v>9</v>
      </c>
      <c r="I34" s="19">
        <f t="shared" si="1"/>
        <v>0.20447333912824078</v>
      </c>
      <c r="J34" s="19">
        <f t="shared" si="2"/>
        <v>0.22936386766922018</v>
      </c>
      <c r="K34" s="4" t="str">
        <f>IF(AND(percentiles!$C$2&gt;S6B_num_weighting!I34,percentiles!$C$2&lt;S6B_num_weighting!J34),"lower",IF(AND(percentiles!$C$3&gt;S6B_num_weighting!I34,percentiles!$C$3&lt;S6B_num_weighting!J34),"upper","n/a"))</f>
        <v>n/a</v>
      </c>
      <c r="L34" s="3">
        <v>10</v>
      </c>
      <c r="M34" s="19">
        <f t="shared" si="3"/>
        <v>0.25721493408326374</v>
      </c>
      <c r="N34" s="19">
        <f t="shared" si="4"/>
        <v>0.28210546262424313</v>
      </c>
      <c r="O34" s="4" t="str">
        <f>IF(AND(percentiles!$C$2&gt;S6B_num_weighting!M34,percentiles!$C$2&lt;S6B_num_weighting!N34),"lower",IF(AND(percentiles!$C$3&gt;S6B_num_weighting!M34,percentiles!$C$3&lt;S6B_num_weighting!N34),"upper","n/a"))</f>
        <v>n/a</v>
      </c>
    </row>
    <row r="35" spans="1:15" x14ac:dyDescent="0.35">
      <c r="A35" s="3" t="s">
        <v>85</v>
      </c>
      <c r="B35" s="4" t="s">
        <v>87</v>
      </c>
      <c r="C35" s="18">
        <v>41334</v>
      </c>
      <c r="D35" s="19">
        <v>0.48536279467145255</v>
      </c>
      <c r="E35" s="19">
        <f t="shared" si="0"/>
        <v>2.4890528540979385E-2</v>
      </c>
      <c r="F35" s="19">
        <v>1.3218753657768629E-2</v>
      </c>
      <c r="G35" s="19">
        <v>2.0810103364729014E-2</v>
      </c>
      <c r="H35" s="3">
        <v>12</v>
      </c>
      <c r="I35" s="19">
        <f t="shared" si="1"/>
        <v>0.28711557772528357</v>
      </c>
      <c r="J35" s="19">
        <f t="shared" si="2"/>
        <v>0.31200610626626296</v>
      </c>
      <c r="K35" s="4" t="str">
        <f>IF(AND(percentiles!$C$2&gt;S6B_num_weighting!I35,percentiles!$C$2&lt;S6B_num_weighting!J35),"lower",IF(AND(percentiles!$C$3&gt;S6B_num_weighting!I35,percentiles!$C$3&lt;S6B_num_weighting!J35),"upper","n/a"))</f>
        <v>lower</v>
      </c>
      <c r="L35" s="3">
        <v>12</v>
      </c>
      <c r="M35" s="19">
        <f t="shared" si="3"/>
        <v>0.30502841578634876</v>
      </c>
      <c r="N35" s="19">
        <f t="shared" si="4"/>
        <v>0.32991894432732816</v>
      </c>
      <c r="O35" s="4" t="str">
        <f>IF(AND(percentiles!$C$2&gt;S6B_num_weighting!M35,percentiles!$C$2&lt;S6B_num_weighting!N35),"lower",IF(AND(percentiles!$C$3&gt;S6B_num_weighting!M35,percentiles!$C$3&lt;S6B_num_weighting!N35),"upper","n/a"))</f>
        <v>lower</v>
      </c>
    </row>
    <row r="36" spans="1:15" x14ac:dyDescent="0.35">
      <c r="A36" s="3" t="s">
        <v>85</v>
      </c>
      <c r="B36" s="4" t="s">
        <v>86</v>
      </c>
      <c r="C36" s="18">
        <v>42979</v>
      </c>
      <c r="D36" s="19">
        <v>0.49003309708670778</v>
      </c>
      <c r="E36" s="19">
        <f t="shared" si="0"/>
        <v>2.5130032468429375E-2</v>
      </c>
      <c r="F36" s="19">
        <v>2.6928795852177664E-2</v>
      </c>
      <c r="G36" s="19">
        <v>3.752408182979735E-2</v>
      </c>
      <c r="H36" s="3">
        <v>24</v>
      </c>
      <c r="I36" s="19">
        <f t="shared" si="1"/>
        <v>0.59329616696058818</v>
      </c>
      <c r="J36" s="19">
        <f t="shared" si="2"/>
        <v>0.61842619942901755</v>
      </c>
      <c r="K36" s="4" t="str">
        <f>IF(AND(percentiles!$C$2&gt;S6B_num_weighting!I36,percentiles!$C$2&lt;S6B_num_weighting!J36),"lower",IF(AND(percentiles!$C$3&gt;S6B_num_weighting!I36,percentiles!$C$3&lt;S6B_num_weighting!J36),"upper","n/a"))</f>
        <v>n/a</v>
      </c>
      <c r="L36" s="3">
        <v>23</v>
      </c>
      <c r="M36" s="19">
        <f t="shared" si="3"/>
        <v>0.58313942189202828</v>
      </c>
      <c r="N36" s="19">
        <f t="shared" si="4"/>
        <v>0.60826945436045765</v>
      </c>
      <c r="O36" s="4" t="str">
        <f>IF(AND(percentiles!$C$2&gt;S6B_num_weighting!M36,percentiles!$C$2&lt;S6B_num_weighting!N36),"lower",IF(AND(percentiles!$C$3&gt;S6B_num_weighting!M36,percentiles!$C$3&lt;S6B_num_weighting!N36),"upper","n/a"))</f>
        <v>n/a</v>
      </c>
    </row>
    <row r="37" spans="1:15" x14ac:dyDescent="0.35">
      <c r="A37" s="3" t="s">
        <v>85</v>
      </c>
      <c r="B37" s="4" t="s">
        <v>64</v>
      </c>
      <c r="C37" s="18">
        <v>42979</v>
      </c>
      <c r="D37" s="19">
        <v>0.49003309708670778</v>
      </c>
      <c r="E37" s="19">
        <f t="shared" si="0"/>
        <v>2.5130032468429375E-2</v>
      </c>
      <c r="F37" s="19">
        <v>6.0589790667399746E-3</v>
      </c>
      <c r="G37" s="19">
        <v>8.4429184117044039E-3</v>
      </c>
      <c r="H37" s="3">
        <v>5</v>
      </c>
      <c r="I37" s="19">
        <f t="shared" si="1"/>
        <v>9.8099947058066642E-2</v>
      </c>
      <c r="J37" s="19">
        <f t="shared" si="2"/>
        <v>0.12322997952649602</v>
      </c>
      <c r="K37" s="4" t="str">
        <f>IF(AND(percentiles!$C$2&gt;S6B_num_weighting!I37,percentiles!$C$2&lt;S6B_num_weighting!J37),"lower",IF(AND(percentiles!$C$3&gt;S6B_num_weighting!I37,percentiles!$C$3&lt;S6B_num_weighting!J37),"upper","n/a"))</f>
        <v>n/a</v>
      </c>
      <c r="L37" s="3">
        <v>5</v>
      </c>
      <c r="M37" s="19">
        <f t="shared" si="3"/>
        <v>0.10998494649199514</v>
      </c>
      <c r="N37" s="19">
        <f t="shared" si="4"/>
        <v>0.13511497896042451</v>
      </c>
      <c r="O37" s="4" t="str">
        <f>IF(AND(percentiles!$C$2&gt;S6B_num_weighting!M37,percentiles!$C$2&lt;S6B_num_weighting!N37),"lower",IF(AND(percentiles!$C$3&gt;S6B_num_weighting!M37,percentiles!$C$3&lt;S6B_num_weighting!N37),"upper","n/a"))</f>
        <v>n/a</v>
      </c>
    </row>
    <row r="38" spans="1:15" x14ac:dyDescent="0.35">
      <c r="A38" s="3" t="s">
        <v>85</v>
      </c>
      <c r="B38" s="4" t="s">
        <v>86</v>
      </c>
      <c r="C38" s="18">
        <v>43770</v>
      </c>
      <c r="D38" s="19">
        <v>0.49035329782994491</v>
      </c>
      <c r="E38" s="19">
        <f t="shared" si="0"/>
        <v>2.5146453104345198E-2</v>
      </c>
      <c r="F38" s="19">
        <v>2.4362337453723643E-2</v>
      </c>
      <c r="G38" s="19">
        <v>3.4788975922811487E-2</v>
      </c>
      <c r="H38" s="3">
        <v>22</v>
      </c>
      <c r="I38" s="19">
        <f t="shared" si="1"/>
        <v>0.54543703430035462</v>
      </c>
      <c r="J38" s="19">
        <f t="shared" si="2"/>
        <v>0.57058348740469977</v>
      </c>
      <c r="K38" s="4" t="str">
        <f>IF(AND(percentiles!$C$2&gt;S6B_num_weighting!I38,percentiles!$C$2&lt;S6B_num_weighting!J38),"lower",IF(AND(percentiles!$C$3&gt;S6B_num_weighting!I38,percentiles!$C$3&lt;S6B_num_weighting!J38),"upper","n/a"))</f>
        <v>n/a</v>
      </c>
      <c r="L38" s="3">
        <v>21</v>
      </c>
      <c r="M38" s="19">
        <f t="shared" si="3"/>
        <v>0.52783745973624219</v>
      </c>
      <c r="N38" s="19">
        <f t="shared" si="4"/>
        <v>0.55298391284058734</v>
      </c>
      <c r="O38" s="4" t="str">
        <f>IF(AND(percentiles!$C$2&gt;S6B_num_weighting!M38,percentiles!$C$2&lt;S6B_num_weighting!N38),"lower",IF(AND(percentiles!$C$3&gt;S6B_num_weighting!M38,percentiles!$C$3&lt;S6B_num_weighting!N38),"upper","n/a"))</f>
        <v>n/a</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0D7AAC-0579-4BCF-B403-F31FC1EEDFC8}">
  <sheetPr>
    <tabColor theme="9" tint="0.79998168889431442"/>
  </sheetPr>
  <dimension ref="A1:K3"/>
  <sheetViews>
    <sheetView workbookViewId="0">
      <pane xSplit="1" ySplit="1" topLeftCell="B2" activePane="bottomRight" state="frozen"/>
      <selection pane="topRight" activeCell="B1" sqref="B1"/>
      <selection pane="bottomLeft" activeCell="A2" sqref="A2"/>
      <selection pane="bottomRight" activeCell="B2" sqref="B2"/>
    </sheetView>
  </sheetViews>
  <sheetFormatPr defaultRowHeight="14.5" x14ac:dyDescent="0.35"/>
  <cols>
    <col min="1" max="1" width="13.54296875" customWidth="1"/>
    <col min="2" max="2" width="22.1796875" customWidth="1"/>
    <col min="3" max="3" width="19.54296875" customWidth="1"/>
    <col min="4" max="4" width="18" customWidth="1"/>
    <col min="5" max="5" width="20.6328125" customWidth="1"/>
    <col min="6" max="6" width="18.6328125" customWidth="1"/>
    <col min="7" max="7" width="22.1796875" customWidth="1"/>
    <col min="8" max="8" width="20.08984375" customWidth="1"/>
    <col min="9" max="9" width="18.453125" customWidth="1"/>
    <col min="10" max="10" width="20.6328125" customWidth="1"/>
    <col min="11" max="11" width="18.6328125" customWidth="1"/>
    <col min="12" max="16384" width="8.7265625" style="3"/>
  </cols>
  <sheetData>
    <row r="1" spans="1:11" ht="40" customHeight="1" x14ac:dyDescent="0.35">
      <c r="A1" s="61" t="s">
        <v>141</v>
      </c>
      <c r="B1" s="63" t="s">
        <v>142</v>
      </c>
      <c r="C1" s="63" t="s">
        <v>143</v>
      </c>
      <c r="D1" s="63" t="s">
        <v>144</v>
      </c>
      <c r="E1" s="63" t="s">
        <v>145</v>
      </c>
      <c r="F1" s="63" t="s">
        <v>146</v>
      </c>
      <c r="G1" s="63" t="s">
        <v>147</v>
      </c>
      <c r="H1" s="63" t="s">
        <v>148</v>
      </c>
      <c r="I1" s="63" t="s">
        <v>149</v>
      </c>
      <c r="J1" s="63" t="s">
        <v>150</v>
      </c>
      <c r="K1" s="63" t="s">
        <v>151</v>
      </c>
    </row>
    <row r="2" spans="1:11" x14ac:dyDescent="0.35">
      <c r="A2" s="67" t="s">
        <v>20</v>
      </c>
      <c r="B2" s="66" cm="1">
        <f t="array" ref="B2">IF($A2="lower",_xlfn.PERCENTILE.INC(IF(ISNUMBER(S6A_cohort_data!D:D),S6A_cohort_data!D:D),percentiles!$C$2),_xlfn.PERCENTILE.INC(IF(ISNUMBER(S6A_cohort_data!D:D),S6A_cohort_data!D:D),percentiles!$C$3))</f>
        <v>1.6295681083646506E-2</v>
      </c>
      <c r="C2" s="66" cm="1">
        <f t="array" ref="C2">IF($A2="lower",_xlfn.PERCENTILE.INC(IF(ISNUMBER(S6A_cohort_data!E:E),S6A_cohort_data!E:E),percentiles!$C$2),_xlfn.PERCENTILE.INC(IF(ISNUMBER(S6A_cohort_data!E:E),S6A_cohort_data!E:E),percentiles!$C$3))</f>
        <v>1.2807866683029721E-2</v>
      </c>
      <c r="D2" s="66" cm="1">
        <f t="array" ref="D2">IF($A2="lower",_xlfn.PERCENTILE.INC(IF(ISNUMBER(S6A_cohort_data!F:F),S6A_cohort_data!F:F),percentiles!$C$2),_xlfn.PERCENTILE.INC(IF(ISNUMBER(S6A_cohort_data!F:F),S6A_cohort_data!F:F),percentiles!$C$3))</f>
        <v>1.1184152004559208E-2</v>
      </c>
      <c r="E2" s="66">
        <f>_xlfn.XLOOKUP($A2,S6B_num_weighting!$K:$K,S6B_num_weighting!$F:$F)</f>
        <v>1.3218753657768629E-2</v>
      </c>
      <c r="F2" s="66">
        <f>IF($A2="lower",MAX(B2:E2),MIN(B2:E2))</f>
        <v>1.6295681083646506E-2</v>
      </c>
      <c r="G2" s="66" cm="1">
        <f t="array" ref="G2">IF($A2="lower",_xlfn.PERCENTILE.INC(IF(ISNUMBER(S6A_cohort_data!G:G),S6A_cohort_data!G:G),percentiles!$C$2),_xlfn.PERCENTILE.INC(IF(ISNUMBER(S6A_cohort_data!G:G),S6A_cohort_data!G:G),percentiles!$C$3))</f>
        <v>1.7018063706279528E-2</v>
      </c>
      <c r="H2" s="66" cm="1">
        <f t="array" ref="H2">IF($A2="lower",_xlfn.PERCENTILE.INC(IF(ISNUMBER(S6A_cohort_data!H:H),S6A_cohort_data!H:H),percentiles!$C$2),_xlfn.PERCENTILE.INC(IF(ISNUMBER(S6A_cohort_data!H:H),S6A_cohort_data!H:H),percentiles!$C$3))</f>
        <v>1.8147767316464735E-2</v>
      </c>
      <c r="I2" s="66" cm="1">
        <f t="array" ref="I2">IF($A2="lower",_xlfn.PERCENTILE.INC(IF(ISNUMBER(S6A_cohort_data!I:I),S6A_cohort_data!I:I),percentiles!$C$2),_xlfn.PERCENTILE.INC(IF(ISNUMBER(S6A_cohort_data!I:I),S6A_cohort_data!I:I),percentiles!$C$3))</f>
        <v>1.4430052306608918E-2</v>
      </c>
      <c r="J2" s="66">
        <f>_xlfn.XLOOKUP($A2,S6B_num_weighting!O:O,S6B_num_weighting!G:G)</f>
        <v>2.0810103364729014E-2</v>
      </c>
      <c r="K2" s="66">
        <f>IF($A2="lower",MAX(G2:J2),MIN(G2:J2))</f>
        <v>2.0810103364729014E-2</v>
      </c>
    </row>
    <row r="3" spans="1:11" x14ac:dyDescent="0.35">
      <c r="A3" s="67" t="s">
        <v>21</v>
      </c>
      <c r="B3" s="66" cm="1">
        <f t="array" ref="B3">IF($A3="lower",_xlfn.PERCENTILE.INC(IF(ISNUMBER(S6A_cohort_data!D:D),S6A_cohort_data!D:D),percentiles!$C$2),_xlfn.PERCENTILE.INC(IF(ISNUMBER(S6A_cohort_data!D:D),S6A_cohort_data!D:D),percentiles!$C$3))</f>
        <v>3.3514823645509471E-2</v>
      </c>
      <c r="C3" s="66" cm="1">
        <f t="array" ref="C3">IF($A3="lower",_xlfn.PERCENTILE.INC(IF(ISNUMBER(S6A_cohort_data!E:E),S6A_cohort_data!E:E),percentiles!$C$2),_xlfn.PERCENTILE.INC(IF(ISNUMBER(S6A_cohort_data!E:E),S6A_cohort_data!E:E),percentiles!$C$3))</f>
        <v>2.7056742556676099E-2</v>
      </c>
      <c r="D3" s="66" cm="1">
        <f t="array" ref="D3">IF($A3="lower",_xlfn.PERCENTILE.INC(IF(ISNUMBER(S6A_cohort_data!F:F),S6A_cohort_data!F:F),percentiles!$C$2),_xlfn.PERCENTILE.INC(IF(ISNUMBER(S6A_cohort_data!F:F),S6A_cohort_data!F:F),percentiles!$C$3))</f>
        <v>2.5876547908811515E-2</v>
      </c>
      <c r="E3" s="66">
        <f>_xlfn.XLOOKUP($A3,S6B_num_weighting!$K:$K,S6B_num_weighting!$F:$F)</f>
        <v>2.8994280817858074E-2</v>
      </c>
      <c r="F3" s="66">
        <f>IF($A3="lower",MAX(B3:E3),MIN(B3:E3))</f>
        <v>2.5876547908811515E-2</v>
      </c>
      <c r="G3" s="66" cm="1">
        <f t="array" ref="G3">IF($A3="lower",_xlfn.PERCENTILE.INC(IF(ISNUMBER(S6A_cohort_data!G:G),S6A_cohort_data!G:G),percentiles!$C$2),_xlfn.PERCENTILE.INC(IF(ISNUMBER(S6A_cohort_data!G:G),S6A_cohort_data!G:G),percentiles!$C$3))</f>
        <v>3.9324710742507131E-2</v>
      </c>
      <c r="H3" s="66" cm="1">
        <f t="array" ref="H3">IF($A3="lower",_xlfn.PERCENTILE.INC(IF(ISNUMBER(S6A_cohort_data!H:H),S6A_cohort_data!H:H),percentiles!$C$2),_xlfn.PERCENTILE.INC(IF(ISNUMBER(S6A_cohort_data!H:H),S6A_cohort_data!H:H),percentiles!$C$3))</f>
        <v>3.8991551159017375E-2</v>
      </c>
      <c r="I3" s="66" cm="1">
        <f t="array" ref="I3">IF($A3="lower",_xlfn.PERCENTILE.INC(IF(ISNUMBER(S6A_cohort_data!I:I),S6A_cohort_data!I:I),percentiles!$C$2),_xlfn.PERCENTILE.INC(IF(ISNUMBER(S6A_cohort_data!I:I),S6A_cohort_data!I:I),percentiles!$C$3))</f>
        <v>3.6402688407933148E-2</v>
      </c>
      <c r="J3" s="66">
        <f>_xlfn.XLOOKUP($A3,S6B_num_weighting!O:O,S6B_num_weighting!G:G)</f>
        <v>4.1916463395283321E-2</v>
      </c>
      <c r="K3" s="66">
        <f>IF($A3="lower",MAX(G3:J3),MIN(G3:J3))</f>
        <v>3.6402688407933148E-2</v>
      </c>
    </row>
  </sheetData>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85CC3C2-6976-41D2-A499-854B4924AA0E}">
  <sheetPr>
    <tabColor theme="9" tint="0.79998168889431442"/>
  </sheetPr>
  <dimension ref="A1:H5"/>
  <sheetViews>
    <sheetView workbookViewId="0">
      <pane xSplit="2" ySplit="1" topLeftCell="C2" activePane="bottomRight" state="frozen"/>
      <selection pane="topRight" activeCell="C1" sqref="C1"/>
      <selection pane="bottomLeft" activeCell="A2" sqref="A2"/>
      <selection pane="bottomRight" activeCell="G5" sqref="G5"/>
    </sheetView>
  </sheetViews>
  <sheetFormatPr defaultRowHeight="14.5" x14ac:dyDescent="0.35"/>
  <cols>
    <col min="1" max="1" width="15.90625" customWidth="1"/>
    <col min="2" max="2" width="11.6328125" customWidth="1"/>
    <col min="3" max="3" width="13.6328125" customWidth="1"/>
    <col min="4" max="4" width="24.36328125" customWidth="1"/>
    <col min="5" max="6" width="19.6328125" customWidth="1"/>
    <col min="7" max="8" width="23.6328125" customWidth="1"/>
    <col min="9" max="16384" width="8.7265625" style="3"/>
  </cols>
  <sheetData>
    <row r="1" spans="1:8" ht="40" customHeight="1" x14ac:dyDescent="0.35">
      <c r="A1" s="72" t="s">
        <v>32</v>
      </c>
      <c r="B1" s="61" t="s">
        <v>141</v>
      </c>
      <c r="C1" s="63" t="s">
        <v>152</v>
      </c>
      <c r="D1" s="63" t="s">
        <v>153</v>
      </c>
      <c r="E1" s="63" t="s">
        <v>154</v>
      </c>
      <c r="F1" s="63" t="s">
        <v>155</v>
      </c>
      <c r="G1" s="63" t="s">
        <v>156</v>
      </c>
      <c r="H1" s="63" t="s">
        <v>157</v>
      </c>
    </row>
    <row r="2" spans="1:8" x14ac:dyDescent="0.35">
      <c r="A2" s="71" t="s">
        <v>36</v>
      </c>
      <c r="B2" s="71" t="s">
        <v>20</v>
      </c>
      <c r="C2" s="73">
        <v>46922</v>
      </c>
      <c r="D2" s="49">
        <v>0.99033179870586585</v>
      </c>
      <c r="E2" s="66">
        <f>_xlfn.XLOOKUP($B2,S6_intersection!$A:$A,S6_intersection!$F:$F)</f>
        <v>1.6295681083646506E-2</v>
      </c>
      <c r="F2" s="66">
        <f>_xlfn.XLOOKUP($B2,S6_intersection!$A:$A,S6_intersection!$K:$K)</f>
        <v>2.0810103364729014E-2</v>
      </c>
      <c r="G2" s="66">
        <f>E2*$D2</f>
        <v>1.6138131158704796E-2</v>
      </c>
      <c r="H2" s="66">
        <f>F2*$D2</f>
        <v>2.0608907096447075E-2</v>
      </c>
    </row>
    <row r="3" spans="1:8" x14ac:dyDescent="0.35">
      <c r="A3" s="71" t="s">
        <v>36</v>
      </c>
      <c r="B3" s="71" t="s">
        <v>21</v>
      </c>
      <c r="C3" s="73">
        <v>46922</v>
      </c>
      <c r="D3" s="49">
        <v>0.99033179870586585</v>
      </c>
      <c r="E3" s="66">
        <f>_xlfn.XLOOKUP($B3,S6_intersection!$A:$A,S6_intersection!$F:$F)</f>
        <v>2.5876547908811515E-2</v>
      </c>
      <c r="F3" s="66">
        <f>_xlfn.XLOOKUP($B3,S6_intersection!$A:$A,S6_intersection!$K:$K)</f>
        <v>3.6402688407933148E-2</v>
      </c>
      <c r="G3" s="66">
        <f t="shared" ref="G3:G5" si="0">E3*$D3</f>
        <v>2.5626368234831821E-2</v>
      </c>
      <c r="H3" s="66">
        <f t="shared" ref="H3:H5" si="1">F3*$D3</f>
        <v>3.6050739888757607E-2</v>
      </c>
    </row>
    <row r="4" spans="1:8" x14ac:dyDescent="0.35">
      <c r="A4" s="71" t="s">
        <v>37</v>
      </c>
      <c r="B4" s="71" t="s">
        <v>20</v>
      </c>
      <c r="C4" s="73">
        <v>48499</v>
      </c>
      <c r="D4" s="49">
        <v>0.99033179870586585</v>
      </c>
      <c r="E4" s="66">
        <f>_xlfn.XLOOKUP($B4,S6_intersection!$A:$A,S6_intersection!$F:$F)</f>
        <v>1.6295681083646506E-2</v>
      </c>
      <c r="F4" s="66">
        <f>_xlfn.XLOOKUP($B4,S6_intersection!$A:$A,S6_intersection!$K:$K)</f>
        <v>2.0810103364729014E-2</v>
      </c>
      <c r="G4" s="66">
        <f t="shared" si="0"/>
        <v>1.6138131158704796E-2</v>
      </c>
      <c r="H4" s="66">
        <f t="shared" si="1"/>
        <v>2.0608907096447075E-2</v>
      </c>
    </row>
    <row r="5" spans="1:8" x14ac:dyDescent="0.35">
      <c r="A5" s="71" t="s">
        <v>37</v>
      </c>
      <c r="B5" s="71" t="s">
        <v>21</v>
      </c>
      <c r="C5" s="73">
        <v>48499</v>
      </c>
      <c r="D5" s="49">
        <v>0.99033179870586585</v>
      </c>
      <c r="E5" s="66">
        <f>_xlfn.XLOOKUP($B5,S6_intersection!$A:$A,S6_intersection!$F:$F)</f>
        <v>2.5876547908811515E-2</v>
      </c>
      <c r="F5" s="66">
        <f>_xlfn.XLOOKUP($B5,S6_intersection!$A:$A,S6_intersection!$K:$K)</f>
        <v>3.6402688407933148E-2</v>
      </c>
      <c r="G5" s="66">
        <f t="shared" si="0"/>
        <v>2.5626368234831821E-2</v>
      </c>
      <c r="H5" s="66">
        <f t="shared" si="1"/>
        <v>3.6050739888757607E-2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F45028E-0B98-4792-A245-072EED5F6A98}">
  <sheetPr>
    <tabColor theme="9" tint="0.79998168889431442"/>
  </sheetPr>
  <dimension ref="A1:I5"/>
  <sheetViews>
    <sheetView workbookViewId="0">
      <pane xSplit="2" ySplit="1" topLeftCell="C2" activePane="bottomRight" state="frozen"/>
      <selection pane="topRight" activeCell="C1" sqref="C1"/>
      <selection pane="bottomLeft" activeCell="A2" sqref="A2"/>
      <selection pane="bottomRight"/>
    </sheetView>
  </sheetViews>
  <sheetFormatPr defaultRowHeight="14.5" x14ac:dyDescent="0.35"/>
  <cols>
    <col min="1" max="1" width="15.90625" style="74" customWidth="1"/>
    <col min="2" max="2" width="11.6328125" style="69" customWidth="1"/>
    <col min="3" max="3" width="13.54296875" style="75" customWidth="1"/>
    <col min="4" max="4" width="18.1796875" style="75" customWidth="1"/>
    <col min="5" max="5" width="14.54296875" style="75" customWidth="1"/>
    <col min="6" max="6" width="16.7265625" style="71" customWidth="1"/>
    <col min="7" max="7" width="16.6328125" style="71" customWidth="1"/>
    <col min="8" max="8" width="20.6328125" style="71" customWidth="1"/>
    <col min="9" max="9" width="20.36328125" style="71" customWidth="1"/>
    <col min="10" max="16384" width="8.7265625" style="3"/>
  </cols>
  <sheetData>
    <row r="1" spans="1:9" ht="40" customHeight="1" x14ac:dyDescent="0.35">
      <c r="A1" s="72" t="s">
        <v>32</v>
      </c>
      <c r="B1" s="61" t="s">
        <v>141</v>
      </c>
      <c r="C1" s="63" t="s">
        <v>152</v>
      </c>
      <c r="D1" s="63" t="s">
        <v>34</v>
      </c>
      <c r="E1" s="63" t="s">
        <v>90</v>
      </c>
      <c r="F1" s="63" t="s">
        <v>156</v>
      </c>
      <c r="G1" s="63" t="s">
        <v>157</v>
      </c>
      <c r="H1" s="63" t="s">
        <v>158</v>
      </c>
      <c r="I1" s="63" t="s">
        <v>159</v>
      </c>
    </row>
    <row r="2" spans="1:9" x14ac:dyDescent="0.35">
      <c r="A2" s="74" t="s">
        <v>36</v>
      </c>
      <c r="B2" s="67" t="s">
        <v>20</v>
      </c>
      <c r="C2" s="76">
        <v>46922</v>
      </c>
      <c r="D2" s="76">
        <v>52614</v>
      </c>
      <c r="E2" s="77">
        <f>D2-C2+1</f>
        <v>5693</v>
      </c>
      <c r="F2" s="66">
        <v>1.6138131158704796E-2</v>
      </c>
      <c r="G2" s="66">
        <v>2.0608907096447075E-2</v>
      </c>
      <c r="H2" s="66">
        <f>F2*((1-(1/(1+discount_rate!$C$3))^($E2))/(1-(1/(1+discount_rate!$C$3))^365))</f>
        <v>0.14836554647537087</v>
      </c>
      <c r="I2" s="66">
        <f>G2*((1-(1/(1+discount_rate!$C$3))^($E2))/(1-(1/(1+discount_rate!$C$3))^365))</f>
        <v>0.18946752468145872</v>
      </c>
    </row>
    <row r="3" spans="1:9" x14ac:dyDescent="0.35">
      <c r="A3" s="74" t="s">
        <v>36</v>
      </c>
      <c r="B3" s="67" t="s">
        <v>21</v>
      </c>
      <c r="C3" s="76">
        <v>46922</v>
      </c>
      <c r="D3" s="76">
        <v>52614</v>
      </c>
      <c r="E3" s="77">
        <f t="shared" ref="E3:E5" si="0">D3-C3+1</f>
        <v>5693</v>
      </c>
      <c r="F3" s="66">
        <v>2.5626368234831821E-2</v>
      </c>
      <c r="G3" s="66">
        <v>3.6050739888757607E-2</v>
      </c>
      <c r="H3" s="66">
        <f>F3*((1-(1/(1+discount_rate!$C$3))^($E3))/(1-(1/(1+discount_rate!$C$3))^365))</f>
        <v>0.23559544100551555</v>
      </c>
      <c r="I3" s="66">
        <f>G3*((1-(1/(1+discount_rate!$C$3))^($E3))/(1-(1/(1+discount_rate!$C$3))^365))</f>
        <v>0.3314316677586257</v>
      </c>
    </row>
    <row r="4" spans="1:9" x14ac:dyDescent="0.35">
      <c r="A4" s="74" t="s">
        <v>37</v>
      </c>
      <c r="B4" s="67" t="s">
        <v>20</v>
      </c>
      <c r="C4" s="76">
        <v>48499</v>
      </c>
      <c r="D4" s="76">
        <v>52614</v>
      </c>
      <c r="E4" s="77">
        <f t="shared" si="0"/>
        <v>4116</v>
      </c>
      <c r="F4" s="66">
        <v>1.6138131158704796E-2</v>
      </c>
      <c r="G4" s="66">
        <v>2.0608907096447075E-2</v>
      </c>
      <c r="H4" s="66">
        <f>F4*((1-(1/(1+discount_rate!$C$3))^($E4))/(1-(1/(1+discount_rate!$C$3))^365))</f>
        <v>0.12394943740164598</v>
      </c>
      <c r="I4" s="66">
        <f>G4*((1-(1/(1+discount_rate!$C$3))^($E4))/(1-(1/(1+discount_rate!$C$3))^365))</f>
        <v>0.15828737633536613</v>
      </c>
    </row>
    <row r="5" spans="1:9" x14ac:dyDescent="0.35">
      <c r="A5" s="74" t="s">
        <v>37</v>
      </c>
      <c r="B5" s="67" t="s">
        <v>21</v>
      </c>
      <c r="C5" s="76">
        <v>48499</v>
      </c>
      <c r="D5" s="76">
        <v>52614</v>
      </c>
      <c r="E5" s="77">
        <f t="shared" si="0"/>
        <v>4116</v>
      </c>
      <c r="F5" s="66">
        <v>2.5626368234831821E-2</v>
      </c>
      <c r="G5" s="66">
        <v>3.6050739888757607E-2</v>
      </c>
      <c r="H5" s="66">
        <f>F5*((1-(1/(1+discount_rate!$C$3))^($E5))/(1-(1/(1+discount_rate!$C$3))^365))</f>
        <v>0.19682414860295033</v>
      </c>
      <c r="I5" s="66">
        <f>G5*((1-(1/(1+discount_rate!$C$3))^($E5))/(1-(1/(1+discount_rate!$C$3))^365))</f>
        <v>0.27688887165316672</v>
      </c>
    </row>
  </sheetData>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F83C4B-6B8D-4CF4-BD3D-8EA0FC2DD005}">
  <sheetPr>
    <tabColor theme="9" tint="0.79998168889431442"/>
  </sheetPr>
  <dimension ref="A1:E5"/>
  <sheetViews>
    <sheetView workbookViewId="0">
      <pane xSplit="2" ySplit="1" topLeftCell="C2" activePane="bottomRight" state="frozen"/>
      <selection pane="topRight" activeCell="C1" sqref="C1"/>
      <selection pane="bottomLeft" activeCell="A2" sqref="A2"/>
      <selection pane="bottomRight" activeCell="E2" sqref="E2"/>
    </sheetView>
  </sheetViews>
  <sheetFormatPr defaultRowHeight="14.5" x14ac:dyDescent="0.35"/>
  <cols>
    <col min="1" max="1" width="15.90625" style="71" customWidth="1"/>
    <col min="2" max="2" width="11.6328125" style="71" customWidth="1"/>
    <col min="3" max="3" width="20.7265625" style="71" customWidth="1"/>
    <col min="4" max="4" width="20.81640625" style="71" customWidth="1"/>
    <col min="5" max="5" width="22.08984375" style="71" customWidth="1"/>
    <col min="6" max="16384" width="8.7265625" style="3"/>
  </cols>
  <sheetData>
    <row r="1" spans="1:5" ht="40" customHeight="1" x14ac:dyDescent="0.35">
      <c r="A1" s="72" t="s">
        <v>32</v>
      </c>
      <c r="B1" s="61" t="s">
        <v>141</v>
      </c>
      <c r="C1" s="63" t="s">
        <v>158</v>
      </c>
      <c r="D1" s="63" t="s">
        <v>159</v>
      </c>
      <c r="E1" s="78" t="s">
        <v>161</v>
      </c>
    </row>
    <row r="2" spans="1:5" x14ac:dyDescent="0.35">
      <c r="A2" s="71" t="s">
        <v>36</v>
      </c>
      <c r="B2" s="71" t="s">
        <v>20</v>
      </c>
      <c r="C2" s="66">
        <v>0.14836554647537087</v>
      </c>
      <c r="D2" s="66">
        <v>0.18946752468145872</v>
      </c>
      <c r="E2" s="66">
        <f>IF(B2="lower",MAX($C2:$D2),MIN($C2:$D2))</f>
        <v>0.18946752468145872</v>
      </c>
    </row>
    <row r="3" spans="1:5" x14ac:dyDescent="0.35">
      <c r="A3" s="71" t="s">
        <v>36</v>
      </c>
      <c r="B3" s="71" t="s">
        <v>21</v>
      </c>
      <c r="C3" s="66">
        <v>0.23559544100551555</v>
      </c>
      <c r="D3" s="66">
        <v>0.3314316677586257</v>
      </c>
      <c r="E3" s="66">
        <f t="shared" ref="E3:E5" si="0">IF(B3="lower",MAX($C3:$D3),MIN($C3:$D3))</f>
        <v>0.23559544100551555</v>
      </c>
    </row>
    <row r="4" spans="1:5" x14ac:dyDescent="0.35">
      <c r="A4" s="71" t="s">
        <v>37</v>
      </c>
      <c r="B4" s="71" t="s">
        <v>20</v>
      </c>
      <c r="C4" s="66">
        <v>0.12394943740164598</v>
      </c>
      <c r="D4" s="66">
        <v>0.15828737633536613</v>
      </c>
      <c r="E4" s="66">
        <f t="shared" si="0"/>
        <v>0.15828737633536613</v>
      </c>
    </row>
    <row r="5" spans="1:5" x14ac:dyDescent="0.35">
      <c r="A5" s="71" t="s">
        <v>37</v>
      </c>
      <c r="B5" s="71" t="s">
        <v>21</v>
      </c>
      <c r="C5" s="66">
        <v>0.19682414860295033</v>
      </c>
      <c r="D5" s="66">
        <v>0.27688887165316672</v>
      </c>
      <c r="E5" s="66">
        <f t="shared" si="0"/>
        <v>0.19682414860295033</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dd7e4107-340f-49bc-b242-932585323802">
      <Terms xmlns="http://schemas.microsoft.com/office/infopath/2007/PartnerControls"/>
    </lcf76f155ced4ddcb4097134ff3c332f>
    <TaxCatchAll xmlns="aaf5b1b8-7fa3-4132-a2ec-fb8a46b60ebe"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9312A608CC66EF46A94C5406789A67A5" ma:contentTypeVersion="18" ma:contentTypeDescription="Create a new document." ma:contentTypeScope="" ma:versionID="c70fa8bb632bc1a3aa3f374795b9dd8b">
  <xsd:schema xmlns:xsd="http://www.w3.org/2001/XMLSchema" xmlns:xs="http://www.w3.org/2001/XMLSchema" xmlns:p="http://schemas.microsoft.com/office/2006/metadata/properties" xmlns:ns2="dd7e4107-340f-49bc-b242-932585323802" xmlns:ns3="aaf5b1b8-7fa3-4132-a2ec-fb8a46b60ebe" targetNamespace="http://schemas.microsoft.com/office/2006/metadata/properties" ma:root="true" ma:fieldsID="1378d0875a7a5c1ba170ef745c32f716" ns2:_="" ns3:_="">
    <xsd:import namespace="dd7e4107-340f-49bc-b242-932585323802"/>
    <xsd:import namespace="aaf5b1b8-7fa3-4132-a2ec-fb8a46b60ebe"/>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lcf76f155ced4ddcb4097134ff3c332f" minOccurs="0"/>
                <xsd:element ref="ns3:TaxCatchAll" minOccurs="0"/>
                <xsd:element ref="ns2:MediaServiceSearchProperties" minOccurs="0"/>
                <xsd:element ref="ns2:MediaServiceObjectDetectorVersions" minOccurs="0"/>
                <xsd:element ref="ns2:MediaLengthInSecond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d7e4107-340f-49bc-b242-93258532380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ternalName="MediaServiceDateTaken" ma:readOnly="true">
      <xsd:simpleType>
        <xsd:restriction base="dms:Text"/>
      </xsd:simpleType>
    </xsd:element>
    <xsd:element name="lcf76f155ced4ddcb4097134ff3c332f" ma:index="20" nillable="true" ma:taxonomy="true" ma:internalName="lcf76f155ced4ddcb4097134ff3c332f" ma:taxonomyFieldName="MediaServiceImageTags" ma:displayName="Image Tags" ma:readOnly="false" ma:fieldId="{5cf76f15-5ced-4ddc-b409-7134ff3c332f}" ma:taxonomyMulti="true" ma:sspId="08fe8815-ddc4-4b7c-be07-fec6d2f953c7" ma:termSetId="09814cd3-568e-fe90-9814-8d621ff8fb84" ma:anchorId="fba54fb3-c3e1-fe81-a776-ca4b69148c4d" ma:open="true" ma:isKeyword="false">
      <xsd:complexType>
        <xsd:sequence>
          <xsd:element ref="pc:Terms" minOccurs="0" maxOccurs="1"/>
        </xsd:sequence>
      </xsd:complexType>
    </xsd:element>
    <xsd:element name="MediaServiceSearchProperties" ma:index="22" nillable="true" ma:displayName="MediaServiceSearchProperties" ma:hidden="true" ma:internalName="MediaServiceSearchProperties" ma:readOnly="true">
      <xsd:simpleType>
        <xsd:restriction base="dms:Note"/>
      </xsd:simpleType>
    </xsd:element>
    <xsd:element name="MediaServiceObjectDetectorVersions" ma:index="23" nillable="true" ma:displayName="MediaServiceObjectDetectorVersions" ma:hidden="true" ma:indexed="true" ma:internalName="MediaServiceObjectDetectorVersions" ma:readOnly="true">
      <xsd:simpleType>
        <xsd:restriction base="dms:Text"/>
      </xsd:simpleType>
    </xsd:element>
    <xsd:element name="MediaLengthInSeconds" ma:index="24" nillable="true" ma:displayName="MediaLengthInSeconds" ma:hidden="true" ma:internalName="MediaLengthInSeconds" ma:readOnly="true">
      <xsd:simpleType>
        <xsd:restriction base="dms:Unknown"/>
      </xsd:simpleType>
    </xsd:element>
    <xsd:element name="MediaServiceLocation" ma:index="25"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aaf5b1b8-7fa3-4132-a2ec-fb8a46b60ebe"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21" nillable="true" ma:displayName="Taxonomy Catch All Column" ma:hidden="true" ma:list="{90b73f39-9b92-4bc0-bfc8-2ada248a5604}" ma:internalName="TaxCatchAll" ma:showField="CatchAllData" ma:web="aaf5b1b8-7fa3-4132-a2ec-fb8a46b60eb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7250F4C-6565-49D2-B096-5EE1D047735E}">
  <ds:schemaRefs>
    <ds:schemaRef ds:uri="http://purl.org/dc/elements/1.1/"/>
    <ds:schemaRef ds:uri="http://www.w3.org/XML/1998/namespace"/>
    <ds:schemaRef ds:uri="http://schemas.microsoft.com/office/2006/documentManagement/types"/>
    <ds:schemaRef ds:uri="http://purl.org/dc/dcmitype/"/>
    <ds:schemaRef ds:uri="http://purl.org/dc/terms/"/>
    <ds:schemaRef ds:uri="http://schemas.microsoft.com/office/infopath/2007/PartnerControls"/>
    <ds:schemaRef ds:uri="dd7e4107-340f-49bc-b242-932585323802"/>
    <ds:schemaRef ds:uri="aaf5b1b8-7fa3-4132-a2ec-fb8a46b60ebe"/>
    <ds:schemaRef ds:uri="http://schemas.openxmlformats.org/package/2006/metadata/core-properties"/>
    <ds:schemaRef ds:uri="http://schemas.microsoft.com/office/2006/metadata/properties"/>
  </ds:schemaRefs>
</ds:datastoreItem>
</file>

<file path=customXml/itemProps2.xml><?xml version="1.0" encoding="utf-8"?>
<ds:datastoreItem xmlns:ds="http://schemas.openxmlformats.org/officeDocument/2006/customXml" ds:itemID="{4A925A0E-5619-4611-A879-F8F5A822225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d7e4107-340f-49bc-b242-932585323802"/>
    <ds:schemaRef ds:uri="aaf5b1b8-7fa3-4132-a2ec-fb8a46b60eb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2D6D97AE-E902-48AA-B039-123BB7062311}">
  <ds:schemaRefs>
    <ds:schemaRef ds:uri="http://schemas.microsoft.com/sharepoint/v3/contenttype/forms"/>
  </ds:schemaRefs>
</ds:datastoreItem>
</file>

<file path=docMetadata/LabelInfo.xml><?xml version="1.0" encoding="utf-8"?>
<clbl:labelList xmlns:clbl="http://schemas.microsoft.com/office/2020/mipLabelMetadata">
  <clbl:label id="{0dac7f39-d20c-4e71-8af3-71ee7e268a2b}" enabled="0" method="" siteId="{0dac7f39-d20c-4e71-8af3-71ee7e268a2b}"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20</vt:i4>
      </vt:variant>
    </vt:vector>
  </HeadingPairs>
  <TitlesOfParts>
    <vt:vector size="20" baseType="lpstr">
      <vt:lpstr>Introduction</vt:lpstr>
      <vt:lpstr>percentiles</vt:lpstr>
      <vt:lpstr>weight_thresholds</vt:lpstr>
      <vt:lpstr>discount_rate</vt:lpstr>
      <vt:lpstr>licence_dates</vt:lpstr>
      <vt:lpstr>aus_data</vt:lpstr>
      <vt:lpstr>exchange_rates</vt:lpstr>
      <vt:lpstr>MSR-MHz-pop_index</vt:lpstr>
      <vt:lpstr>S1_benchmark_data</vt:lpstr>
      <vt:lpstr>S2_duration</vt:lpstr>
      <vt:lpstr>S3_currency</vt:lpstr>
      <vt:lpstr>S4_timing</vt:lpstr>
      <vt:lpstr>S5_allocation_weights</vt:lpstr>
      <vt:lpstr>S6A_cohort_data</vt:lpstr>
      <vt:lpstr>S6A_cohort_analysis</vt:lpstr>
      <vt:lpstr>S6B_num_weighting</vt:lpstr>
      <vt:lpstr>S6_intersection</vt:lpstr>
      <vt:lpstr>S7_fwd_valuations</vt:lpstr>
      <vt:lpstr>S8_expand_duration</vt:lpstr>
      <vt:lpstr>S9_prelim_valuations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Laura Bell</dc:creator>
  <cp:lastModifiedBy>Laura Bell</cp:lastModifiedBy>
  <dcterms:created xsi:type="dcterms:W3CDTF">2025-05-04T23:11:42Z</dcterms:created>
  <dcterms:modified xsi:type="dcterms:W3CDTF">2025-05-22T06:23:27Z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0x0101009312A608CC66EF46A94C5406789A67A5</vt:lpwstr>
  </property>
  <property fmtid="{D5CDD505-2E9C-101B-9397-08002B2CF9AE}" pid="3" name="MediaServiceImageTags">
    <vt:lpwstr/>
  </property>
</Properties>
</file>