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acmagovau-my.sharepoint.com/personal/laura_bell2_acma_gov_au/Documents/Documents/Public spreadsheets editorial/"/>
    </mc:Choice>
  </mc:AlternateContent>
  <xr:revisionPtr revIDLastSave="0" documentId="8_{CAE7E97D-2EA0-466A-9634-48DD9FB13E9C}" xr6:coauthVersionLast="47" xr6:coauthVersionMax="47" xr10:uidLastSave="{00000000-0000-0000-0000-000000000000}"/>
  <bookViews>
    <workbookView xWindow="37320" yWindow="-120" windowWidth="51840" windowHeight="21240" tabRatio="747" activeTab="14" xr2:uid="{6B76187D-B712-4D0E-9F80-AE70C1C43810}"/>
  </bookViews>
  <sheets>
    <sheet name="Introduction" sheetId="1" r:id="rId1"/>
    <sheet name="percentiles" sheetId="42" r:id="rId2"/>
    <sheet name="weight_thresholds" sheetId="41" r:id="rId3"/>
    <sheet name="discount_rate" sheetId="39" r:id="rId4"/>
    <sheet name="licence_dates" sheetId="40" r:id="rId5"/>
    <sheet name="aus_data" sheetId="33" r:id="rId6"/>
    <sheet name="exchange_rates" sheetId="43" r:id="rId7"/>
    <sheet name="MSR-MHz-pop_index" sheetId="45" r:id="rId8"/>
    <sheet name="S1_benchmark_data" sheetId="31" r:id="rId9"/>
    <sheet name="S2_duration" sheetId="46" r:id="rId10"/>
    <sheet name="S3_currency" sheetId="54" r:id="rId11"/>
    <sheet name="S4_timing" sheetId="55" r:id="rId12"/>
    <sheet name="S5_allocation_weights" sheetId="47" r:id="rId13"/>
    <sheet name="S6A_cohort_data" sheetId="48" r:id="rId14"/>
    <sheet name="S6A_cohort_analysis" sheetId="53" r:id="rId15"/>
    <sheet name="S6B_num_weighting" sheetId="49" r:id="rId16"/>
    <sheet name="S6C_intersection" sheetId="52" r:id="rId17"/>
    <sheet name="S7_fwd_valuations" sheetId="50" r:id="rId18"/>
    <sheet name="S8_expand_duration" sheetId="56" r:id="rId19"/>
    <sheet name="S9_prelim_valuations" sheetId="51" r:id="rId20"/>
    <sheet name="DB2(1)-(3) - Conversion (I)" sheetId="3" state="hidden" r:id="rId21"/>
    <sheet name="DB3 - Weighting" sheetId="29" state="hidden" r:id="rId22"/>
  </sheets>
  <externalReferences>
    <externalReference r:id="rId23"/>
  </externalReferences>
  <definedNames>
    <definedName name="_xlnm._FilterDatabase" localSheetId="0" hidden="1">Introduction!$A$1:$B$21</definedName>
    <definedName name="Annual_Tilt">Introduction!#REF!</definedName>
    <definedName name="Annual_WACC">Introduction!#REF!</definedName>
    <definedName name="Daily_Tilt">Introduction!#REF!</definedName>
    <definedName name="Daily_WACC">Introduction!#REF!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52" l="1" a="1"/>
  <c r="H2" i="52" s="1"/>
  <c r="I2" i="52" a="1"/>
  <c r="I2" i="52" s="1"/>
  <c r="H3" i="52" a="1"/>
  <c r="H3" i="52" s="1"/>
  <c r="I3" i="52" a="1"/>
  <c r="I3" i="52" s="1"/>
  <c r="G3" i="52" a="1"/>
  <c r="G3" i="52" s="1"/>
  <c r="G2" i="52" a="1"/>
  <c r="G2" i="52" s="1"/>
  <c r="C2" i="52" a="1"/>
  <c r="C2" i="52" s="1"/>
  <c r="D2" i="52" a="1"/>
  <c r="D2" i="52" s="1"/>
  <c r="C3" i="52" a="1"/>
  <c r="C3" i="52" s="1"/>
  <c r="D3" i="52" a="1"/>
  <c r="D3" i="52" s="1"/>
  <c r="B3" i="52" a="1"/>
  <c r="B3" i="52" s="1"/>
  <c r="B2" i="52" a="1"/>
  <c r="B2" i="52" s="1"/>
  <c r="B5" i="53"/>
  <c r="B3" i="53"/>
  <c r="F2" i="31" l="1"/>
  <c r="G30" i="45"/>
  <c r="F30" i="45"/>
  <c r="E30" i="45"/>
  <c r="B30" i="45"/>
  <c r="E3" i="53" l="1" a="1"/>
  <c r="E3" i="53" s="1"/>
  <c r="E5" i="53" a="1"/>
  <c r="E5" i="53" s="1"/>
  <c r="H3" i="53" a="1"/>
  <c r="H3" i="53" s="1"/>
  <c r="H4" i="53" a="1"/>
  <c r="H4" i="53" s="1"/>
  <c r="H5" i="53" a="1"/>
  <c r="H5" i="53" s="1"/>
  <c r="H6" i="53" a="1"/>
  <c r="H6" i="53" s="1"/>
  <c r="H2" i="53" a="1"/>
  <c r="H2" i="53" s="1"/>
  <c r="G3" i="53" a="1"/>
  <c r="G3" i="53" s="1"/>
  <c r="G4" i="53" a="1"/>
  <c r="G4" i="53" s="1"/>
  <c r="G5" i="53" a="1"/>
  <c r="G5" i="53" s="1"/>
  <c r="G6" i="53" a="1"/>
  <c r="G6" i="53" s="1"/>
  <c r="G2" i="53" a="1"/>
  <c r="G2" i="53" s="1"/>
  <c r="F2" i="53" a="1"/>
  <c r="F2" i="53" s="1"/>
  <c r="D3" i="53" a="1"/>
  <c r="D3" i="53" s="1"/>
  <c r="D4" i="53" a="1"/>
  <c r="D4" i="53" s="1"/>
  <c r="D5" i="53" a="1"/>
  <c r="D5" i="53" s="1"/>
  <c r="D6" i="53" a="1"/>
  <c r="D6" i="53" s="1"/>
  <c r="D2" i="53" a="1"/>
  <c r="D2" i="53" s="1"/>
  <c r="C3" i="53" a="1"/>
  <c r="C3" i="53" s="1"/>
  <c r="C4" i="53" a="1"/>
  <c r="C4" i="53" s="1"/>
  <c r="C5" i="53" a="1"/>
  <c r="C5" i="53" s="1"/>
  <c r="C6" i="53" a="1"/>
  <c r="C6" i="53" s="1"/>
  <c r="C2" i="53" a="1"/>
  <c r="C2" i="53" s="1"/>
  <c r="J3" i="47"/>
  <c r="J4" i="47"/>
  <c r="J5" i="47"/>
  <c r="J6" i="47"/>
  <c r="J7" i="47"/>
  <c r="J8" i="47"/>
  <c r="J9" i="47"/>
  <c r="J10" i="47"/>
  <c r="J11" i="47"/>
  <c r="J12" i="47"/>
  <c r="J13" i="47"/>
  <c r="J14" i="47"/>
  <c r="J15" i="47"/>
  <c r="J16" i="47"/>
  <c r="J17" i="47"/>
  <c r="J18" i="47"/>
  <c r="J19" i="47"/>
  <c r="J20" i="47"/>
  <c r="J21" i="47"/>
  <c r="J22" i="47"/>
  <c r="J23" i="47"/>
  <c r="J24" i="47"/>
  <c r="J25" i="47"/>
  <c r="J26" i="47"/>
  <c r="J27" i="47"/>
  <c r="J28" i="47"/>
  <c r="J29" i="47"/>
  <c r="J30" i="47"/>
  <c r="J2" i="47"/>
  <c r="I3" i="47" a="1"/>
  <c r="I3" i="47"/>
  <c r="I4" i="47" a="1"/>
  <c r="I4" i="47"/>
  <c r="I5" i="47" a="1"/>
  <c r="I5" i="47"/>
  <c r="I6" i="47" a="1"/>
  <c r="I6" i="47"/>
  <c r="I7" i="47" a="1"/>
  <c r="I7" i="47"/>
  <c r="I8" i="47" a="1"/>
  <c r="I8" i="47"/>
  <c r="I9" i="47" a="1"/>
  <c r="I9" i="47"/>
  <c r="I10" i="47" a="1"/>
  <c r="I10" i="47"/>
  <c r="I11" i="47" a="1"/>
  <c r="I11" i="47"/>
  <c r="I12" i="47" a="1"/>
  <c r="I12" i="47"/>
  <c r="I13" i="47" a="1"/>
  <c r="I13" i="47"/>
  <c r="I14" i="47" a="1"/>
  <c r="I14" i="47"/>
  <c r="I15" i="47" a="1"/>
  <c r="I15" i="47"/>
  <c r="I16" i="47" a="1"/>
  <c r="I16" i="47"/>
  <c r="I17" i="47" a="1"/>
  <c r="I17" i="47"/>
  <c r="I18" i="47" a="1"/>
  <c r="I18" i="47"/>
  <c r="I19" i="47" a="1"/>
  <c r="I19" i="47"/>
  <c r="I20" i="47" a="1"/>
  <c r="I20" i="47"/>
  <c r="I21" i="47" a="1"/>
  <c r="I21" i="47"/>
  <c r="I22" i="47" a="1"/>
  <c r="I22" i="47"/>
  <c r="I23" i="47" a="1"/>
  <c r="I23" i="47"/>
  <c r="I24" i="47" a="1"/>
  <c r="I24" i="47"/>
  <c r="I25" i="47" a="1"/>
  <c r="I25" i="47"/>
  <c r="I26" i="47" a="1"/>
  <c r="I26" i="47"/>
  <c r="I27" i="47" a="1"/>
  <c r="I27" i="47"/>
  <c r="I28" i="47" a="1"/>
  <c r="I28" i="47"/>
  <c r="I29" i="47" a="1"/>
  <c r="I29" i="47"/>
  <c r="I30" i="47" a="1"/>
  <c r="I30" i="47"/>
  <c r="I2" i="47" a="1"/>
  <c r="I2" i="47" s="1"/>
  <c r="H3" i="47" a="1"/>
  <c r="H3" i="47"/>
  <c r="H4" i="47" a="1"/>
  <c r="H4" i="47"/>
  <c r="H5" i="47" a="1"/>
  <c r="H5" i="47"/>
  <c r="H6" i="47" a="1"/>
  <c r="H6" i="47"/>
  <c r="H7" i="47" a="1"/>
  <c r="H7" i="47"/>
  <c r="H8" i="47" a="1"/>
  <c r="H8" i="47"/>
  <c r="H9" i="47" a="1"/>
  <c r="H9" i="47"/>
  <c r="H10" i="47" a="1"/>
  <c r="H10" i="47"/>
  <c r="H11" i="47" a="1"/>
  <c r="H11" i="47"/>
  <c r="H12" i="47" a="1"/>
  <c r="H12" i="47"/>
  <c r="H13" i="47" a="1"/>
  <c r="H13" i="47"/>
  <c r="H14" i="47" a="1"/>
  <c r="H14" i="47"/>
  <c r="H15" i="47" a="1"/>
  <c r="H15" i="47"/>
  <c r="H16" i="47" a="1"/>
  <c r="H16" i="47"/>
  <c r="H17" i="47" a="1"/>
  <c r="H17" i="47"/>
  <c r="H18" i="47" a="1"/>
  <c r="H18" i="47"/>
  <c r="H19" i="47" a="1"/>
  <c r="H19" i="47"/>
  <c r="H20" i="47" a="1"/>
  <c r="H20" i="47"/>
  <c r="H21" i="47" a="1"/>
  <c r="H21" i="47"/>
  <c r="H22" i="47" a="1"/>
  <c r="H22" i="47"/>
  <c r="H23" i="47" a="1"/>
  <c r="H23" i="47"/>
  <c r="H24" i="47" a="1"/>
  <c r="H24" i="47"/>
  <c r="H25" i="47" a="1"/>
  <c r="H25" i="47"/>
  <c r="H26" i="47" a="1"/>
  <c r="H26" i="47"/>
  <c r="H27" i="47" a="1"/>
  <c r="H27" i="47"/>
  <c r="H28" i="47" a="1"/>
  <c r="H28" i="47"/>
  <c r="H29" i="47" a="1"/>
  <c r="H29" i="47"/>
  <c r="H30" i="47" a="1"/>
  <c r="H30" i="47"/>
  <c r="H2" i="47" a="1"/>
  <c r="H2" i="47" s="1"/>
  <c r="G3" i="47" a="1"/>
  <c r="G3" i="47"/>
  <c r="G4" i="47" a="1"/>
  <c r="G4" i="47"/>
  <c r="G5" i="47" a="1"/>
  <c r="G5" i="47"/>
  <c r="G6" i="47" a="1"/>
  <c r="G6" i="47"/>
  <c r="G7" i="47" a="1"/>
  <c r="G7" i="47"/>
  <c r="G8" i="47" a="1"/>
  <c r="G8" i="47"/>
  <c r="G9" i="47" a="1"/>
  <c r="G9" i="47"/>
  <c r="G10" i="47" a="1"/>
  <c r="G10" i="47"/>
  <c r="G11" i="47" a="1"/>
  <c r="G11" i="47"/>
  <c r="G12" i="47" a="1"/>
  <c r="G12" i="47"/>
  <c r="G13" i="47" a="1"/>
  <c r="G13" i="47"/>
  <c r="G14" i="47" a="1"/>
  <c r="G14" i="47"/>
  <c r="G15" i="47" a="1"/>
  <c r="G15" i="47"/>
  <c r="G16" i="47" a="1"/>
  <c r="G16" i="47"/>
  <c r="G17" i="47" a="1"/>
  <c r="G17" i="47"/>
  <c r="G18" i="47" a="1"/>
  <c r="G18" i="47"/>
  <c r="G19" i="47" a="1"/>
  <c r="G19" i="47"/>
  <c r="G20" i="47" a="1"/>
  <c r="G20" i="47"/>
  <c r="G21" i="47" a="1"/>
  <c r="G21" i="47"/>
  <c r="G22" i="47" a="1"/>
  <c r="G22" i="47"/>
  <c r="G23" i="47" a="1"/>
  <c r="G23" i="47"/>
  <c r="G24" i="47" a="1"/>
  <c r="G24" i="47"/>
  <c r="G25" i="47" a="1"/>
  <c r="G25" i="47"/>
  <c r="G26" i="47" a="1"/>
  <c r="G26" i="47"/>
  <c r="G27" i="47" a="1"/>
  <c r="G27" i="47"/>
  <c r="G28" i="47" a="1"/>
  <c r="G28" i="47"/>
  <c r="G29" i="47" a="1"/>
  <c r="G29" i="47"/>
  <c r="G30" i="47" a="1"/>
  <c r="G30" i="47"/>
  <c r="G2" i="47" a="1"/>
  <c r="G2" i="47" s="1"/>
  <c r="F6" i="53" l="1" a="1"/>
  <c r="F6" i="53" s="1"/>
  <c r="F5" i="53" a="1"/>
  <c r="F5" i="53" s="1"/>
  <c r="F4" i="53" a="1"/>
  <c r="F4" i="53" s="1"/>
  <c r="F3" i="53" a="1"/>
  <c r="F3" i="53" s="1"/>
  <c r="E4" i="53" a="1"/>
  <c r="E4" i="53" s="1"/>
  <c r="E2" i="53" a="1"/>
  <c r="E2" i="53" s="1"/>
  <c r="E6" i="53" a="1"/>
  <c r="E6" i="53" s="1"/>
  <c r="E3" i="56" l="1"/>
  <c r="E2" i="56"/>
  <c r="B23" i="45" l="1"/>
  <c r="B24" i="45"/>
  <c r="B25" i="45"/>
  <c r="B26" i="45"/>
  <c r="B27" i="45"/>
  <c r="B28" i="45"/>
  <c r="B29" i="45"/>
  <c r="F22" i="45" l="1"/>
  <c r="F21" i="45"/>
  <c r="F20" i="45"/>
  <c r="F19" i="45"/>
  <c r="F18" i="45"/>
  <c r="F17" i="45"/>
  <c r="F16" i="45"/>
  <c r="F15" i="45"/>
  <c r="F14" i="45"/>
  <c r="F10" i="45"/>
  <c r="F9" i="45"/>
  <c r="F8" i="45"/>
  <c r="F7" i="45"/>
  <c r="F6" i="45"/>
  <c r="F5" i="45"/>
  <c r="F4" i="45"/>
  <c r="I20" i="45"/>
  <c r="J20" i="45" s="1"/>
  <c r="I21" i="45"/>
  <c r="J21" i="45" s="1"/>
  <c r="I22" i="45"/>
  <c r="I23" i="45"/>
  <c r="I24" i="45"/>
  <c r="J24" i="45" s="1"/>
  <c r="I25" i="45"/>
  <c r="J25" i="45" s="1"/>
  <c r="I26" i="45"/>
  <c r="J26" i="45" s="1"/>
  <c r="I27" i="45"/>
  <c r="J27" i="45" s="1"/>
  <c r="I28" i="45"/>
  <c r="I29" i="45"/>
  <c r="J23" i="45"/>
  <c r="J22" i="45"/>
  <c r="J28" i="45" l="1"/>
  <c r="J29" i="45"/>
  <c r="E2" i="49" l="1"/>
  <c r="E3" i="49"/>
  <c r="E4" i="49"/>
  <c r="E5" i="49"/>
  <c r="E6" i="49"/>
  <c r="E7" i="49"/>
  <c r="E8" i="49"/>
  <c r="E9" i="49"/>
  <c r="E10" i="49"/>
  <c r="E11" i="49"/>
  <c r="E12" i="49"/>
  <c r="E13" i="49"/>
  <c r="E14" i="49"/>
  <c r="E15" i="49"/>
  <c r="E16" i="49"/>
  <c r="E17" i="49"/>
  <c r="E18" i="49"/>
  <c r="E19" i="49"/>
  <c r="E20" i="49"/>
  <c r="E21" i="49"/>
  <c r="E22" i="49"/>
  <c r="E23" i="49"/>
  <c r="E24" i="49"/>
  <c r="E25" i="49"/>
  <c r="E26" i="49"/>
  <c r="E27" i="49"/>
  <c r="E28" i="49"/>
  <c r="E29" i="49"/>
  <c r="E30" i="49"/>
  <c r="G18" i="45" l="1"/>
  <c r="E2" i="45"/>
  <c r="E3" i="45"/>
  <c r="E4" i="45"/>
  <c r="E5" i="45"/>
  <c r="E6" i="45"/>
  <c r="E7" i="45"/>
  <c r="E8" i="45"/>
  <c r="E9" i="45"/>
  <c r="E10" i="45"/>
  <c r="E11" i="45"/>
  <c r="E12" i="45"/>
  <c r="G14" i="45" s="1"/>
  <c r="E13" i="45"/>
  <c r="G15" i="45" s="1"/>
  <c r="E14" i="45"/>
  <c r="E15" i="45"/>
  <c r="E16" i="45"/>
  <c r="E17" i="45"/>
  <c r="E18" i="45"/>
  <c r="E19" i="45"/>
  <c r="E20" i="45"/>
  <c r="G22" i="45" s="1"/>
  <c r="E21" i="45"/>
  <c r="E22" i="45"/>
  <c r="E24" i="45"/>
  <c r="E25" i="45"/>
  <c r="E26" i="45"/>
  <c r="E27" i="45"/>
  <c r="E28" i="45"/>
  <c r="E29" i="45"/>
  <c r="F29" i="45" l="1"/>
  <c r="F28" i="45"/>
  <c r="G28" i="45" s="1"/>
  <c r="F27" i="45"/>
  <c r="G27" i="45" s="1"/>
  <c r="F26" i="45"/>
  <c r="G26" i="45" s="1"/>
  <c r="F13" i="45"/>
  <c r="G13" i="45" s="1"/>
  <c r="F12" i="45"/>
  <c r="G12" i="45" s="1"/>
  <c r="F11" i="45"/>
  <c r="G11" i="45" s="1"/>
  <c r="G10" i="45"/>
  <c r="G20" i="45"/>
  <c r="G19" i="45"/>
  <c r="G7" i="45"/>
  <c r="G29" i="45"/>
  <c r="G17" i="45"/>
  <c r="G6" i="45"/>
  <c r="G8" i="45"/>
  <c r="G16" i="45"/>
  <c r="G4" i="45"/>
  <c r="G5" i="45"/>
  <c r="G21" i="45"/>
  <c r="G9" i="45"/>
  <c r="D19" i="46"/>
  <c r="D7" i="46"/>
  <c r="D15" i="46"/>
  <c r="D26" i="46"/>
  <c r="D10" i="46"/>
  <c r="D30" i="46"/>
  <c r="D18" i="46"/>
  <c r="D6" i="46"/>
  <c r="D4" i="46"/>
  <c r="D27" i="46"/>
  <c r="D13" i="46"/>
  <c r="D22" i="46"/>
  <c r="D29" i="46"/>
  <c r="D17" i="46"/>
  <c r="D5" i="46"/>
  <c r="D14" i="46"/>
  <c r="D2" i="46"/>
  <c r="D24" i="46"/>
  <c r="D12" i="46"/>
  <c r="D28" i="46"/>
  <c r="D23" i="46"/>
  <c r="D11" i="46"/>
  <c r="D16" i="46"/>
  <c r="D3" i="46"/>
  <c r="D21" i="46"/>
  <c r="D25" i="46"/>
  <c r="D9" i="46"/>
  <c r="D20" i="46"/>
  <c r="D8" i="46"/>
  <c r="D25" i="54" l="1"/>
  <c r="D23" i="54"/>
  <c r="D3" i="54"/>
  <c r="D13" i="54"/>
  <c r="D4" i="54"/>
  <c r="D16" i="54"/>
  <c r="D30" i="54"/>
  <c r="D20" i="54"/>
  <c r="D21" i="54"/>
  <c r="D26" i="54"/>
  <c r="D9" i="54"/>
  <c r="D14" i="54"/>
  <c r="D19" i="54"/>
  <c r="D8" i="54"/>
  <c r="D7" i="54"/>
  <c r="D24" i="54"/>
  <c r="D22" i="54"/>
  <c r="D12" i="54"/>
  <c r="D10" i="54"/>
  <c r="D29" i="54"/>
  <c r="D2" i="54"/>
  <c r="D17" i="54"/>
  <c r="D27" i="54"/>
  <c r="D18" i="54"/>
  <c r="D5" i="54"/>
  <c r="D15" i="54"/>
  <c r="D6" i="54"/>
  <c r="D11" i="54"/>
  <c r="D28" i="54"/>
  <c r="F30" i="31"/>
  <c r="F29" i="31"/>
  <c r="F28" i="31"/>
  <c r="F27" i="31"/>
  <c r="F26" i="31"/>
  <c r="F25" i="31"/>
  <c r="F24" i="31"/>
  <c r="F23" i="31"/>
  <c r="F22" i="31"/>
  <c r="F21" i="31"/>
  <c r="F20" i="31"/>
  <c r="F19" i="31"/>
  <c r="F18" i="31"/>
  <c r="F17" i="31"/>
  <c r="F16" i="31"/>
  <c r="F15" i="31"/>
  <c r="F14" i="31"/>
  <c r="F13" i="31"/>
  <c r="F12" i="31"/>
  <c r="F11" i="31"/>
  <c r="F10" i="31"/>
  <c r="F9" i="31"/>
  <c r="F8" i="31"/>
  <c r="F7" i="31"/>
  <c r="F6" i="31"/>
  <c r="F5" i="31"/>
  <c r="F4" i="31"/>
  <c r="F3" i="31"/>
  <c r="D30" i="55" l="1"/>
  <c r="D8" i="55"/>
  <c r="D29" i="55"/>
  <c r="D3" i="55"/>
  <c r="D27" i="55"/>
  <c r="D18" i="55"/>
  <c r="D21" i="55"/>
  <c r="D19" i="55"/>
  <c r="D26" i="55"/>
  <c r="D7" i="55"/>
  <c r="D2" i="55"/>
  <c r="D15" i="55"/>
  <c r="D13" i="55"/>
  <c r="D23" i="55"/>
  <c r="D20" i="55"/>
  <c r="D10" i="55"/>
  <c r="D25" i="55"/>
  <c r="D14" i="55"/>
  <c r="D22" i="55"/>
  <c r="D6" i="55"/>
  <c r="D12" i="55"/>
  <c r="D28" i="55"/>
  <c r="D11" i="55"/>
  <c r="D5" i="55"/>
  <c r="D16" i="55"/>
  <c r="D17" i="55"/>
  <c r="D9" i="55"/>
  <c r="D24" i="55"/>
  <c r="D4" i="55"/>
  <c r="G3" i="31"/>
  <c r="G4" i="31"/>
  <c r="G5" i="31"/>
  <c r="G6" i="31"/>
  <c r="G7" i="31"/>
  <c r="G8" i="31"/>
  <c r="G9" i="31"/>
  <c r="G10" i="31"/>
  <c r="G11" i="31"/>
  <c r="G12" i="31"/>
  <c r="G13" i="31"/>
  <c r="G14" i="31"/>
  <c r="G15" i="31"/>
  <c r="G16" i="31"/>
  <c r="G17" i="31"/>
  <c r="G18" i="31"/>
  <c r="G19" i="31"/>
  <c r="G20" i="31"/>
  <c r="G21" i="31"/>
  <c r="G22" i="31"/>
  <c r="G23" i="31"/>
  <c r="G24" i="31"/>
  <c r="G25" i="31"/>
  <c r="G26" i="31"/>
  <c r="G27" i="31"/>
  <c r="G28" i="31"/>
  <c r="G29" i="31"/>
  <c r="G30" i="31"/>
  <c r="G2" i="31"/>
  <c r="D2" i="40"/>
  <c r="G2" i="46" l="1"/>
  <c r="G16" i="46"/>
  <c r="G18" i="46"/>
  <c r="G27" i="46"/>
  <c r="G28" i="46"/>
  <c r="G15" i="46"/>
  <c r="G25" i="46"/>
  <c r="G30" i="46"/>
  <c r="G3" i="46"/>
  <c r="G13" i="46"/>
  <c r="G29" i="46"/>
  <c r="G12" i="46"/>
  <c r="G21" i="46"/>
  <c r="G17" i="46"/>
  <c r="G11" i="46"/>
  <c r="G19" i="46"/>
  <c r="G5" i="46"/>
  <c r="G22" i="46"/>
  <c r="G7" i="46"/>
  <c r="G24" i="46"/>
  <c r="G9" i="46"/>
  <c r="G23" i="46"/>
  <c r="G8" i="46"/>
  <c r="G10" i="46"/>
  <c r="G4" i="46"/>
  <c r="G20" i="46"/>
  <c r="G26" i="46"/>
  <c r="G6" i="46"/>
  <c r="G14" i="46"/>
  <c r="E2" i="3" l="1" a="1"/>
  <c r="E2" i="3" s="1"/>
  <c r="G2" i="3" l="1" a="1"/>
  <c r="G2" i="3" s="1"/>
  <c r="M31" i="3" l="1"/>
  <c r="M32" i="3"/>
  <c r="M33" i="3"/>
  <c r="M34" i="3"/>
  <c r="M35" i="3"/>
  <c r="M36" i="3"/>
  <c r="M37" i="3"/>
  <c r="M38" i="3"/>
  <c r="M39" i="3"/>
  <c r="M40" i="3"/>
  <c r="M41" i="3"/>
  <c r="M42" i="3"/>
  <c r="M43" i="3"/>
  <c r="M44" i="3"/>
  <c r="M45" i="3"/>
  <c r="M46" i="3"/>
  <c r="M47" i="3"/>
  <c r="M48" i="3"/>
  <c r="M49" i="3"/>
  <c r="M50" i="3"/>
  <c r="N31" i="3"/>
  <c r="O31" i="3"/>
  <c r="N32" i="3"/>
  <c r="O32" i="3"/>
  <c r="N33" i="3"/>
  <c r="O33" i="3"/>
  <c r="N34" i="3"/>
  <c r="N35" i="3"/>
  <c r="O35" i="3"/>
  <c r="N36" i="3"/>
  <c r="O36" i="3"/>
  <c r="N37" i="3"/>
  <c r="O37" i="3"/>
  <c r="N38" i="3"/>
  <c r="O38" i="3"/>
  <c r="N39" i="3"/>
  <c r="O39" i="3"/>
  <c r="N40" i="3"/>
  <c r="O40" i="3"/>
  <c r="N41" i="3"/>
  <c r="O41" i="3"/>
  <c r="N42" i="3"/>
  <c r="O42" i="3"/>
  <c r="N43" i="3"/>
  <c r="O43" i="3"/>
  <c r="N44" i="3"/>
  <c r="O44" i="3"/>
  <c r="N45" i="3"/>
  <c r="O45" i="3"/>
  <c r="N46" i="3"/>
  <c r="O46" i="3"/>
  <c r="N47" i="3"/>
  <c r="O47" i="3"/>
  <c r="N48" i="3"/>
  <c r="O48" i="3"/>
  <c r="N49" i="3"/>
  <c r="O49" i="3"/>
  <c r="N50" i="3"/>
  <c r="O50" i="3"/>
  <c r="K32" i="29"/>
  <c r="L32" i="29"/>
  <c r="J33" i="29"/>
  <c r="K33" i="29"/>
  <c r="L33" i="29"/>
  <c r="J34" i="29"/>
  <c r="K34" i="29"/>
  <c r="L34" i="29"/>
  <c r="J35" i="29"/>
  <c r="K35" i="29"/>
  <c r="L35" i="29"/>
  <c r="J36" i="29"/>
  <c r="K36" i="29"/>
  <c r="L36" i="29"/>
  <c r="J37" i="29"/>
  <c r="K37" i="29"/>
  <c r="L37" i="29"/>
  <c r="J38" i="29"/>
  <c r="K38" i="29"/>
  <c r="L38" i="29"/>
  <c r="J39" i="29"/>
  <c r="K39" i="29"/>
  <c r="L39" i="29"/>
  <c r="J40" i="29"/>
  <c r="K40" i="29"/>
  <c r="L40" i="29"/>
  <c r="J41" i="29"/>
  <c r="K41" i="29"/>
  <c r="L41" i="29"/>
  <c r="J42" i="29"/>
  <c r="K42" i="29"/>
  <c r="L42" i="29"/>
  <c r="J43" i="29"/>
  <c r="K43" i="29"/>
  <c r="L43" i="29"/>
  <c r="J44" i="29"/>
  <c r="K44" i="29"/>
  <c r="L44" i="29"/>
  <c r="J45" i="29"/>
  <c r="K45" i="29"/>
  <c r="L45" i="29"/>
  <c r="J46" i="29"/>
  <c r="K46" i="29"/>
  <c r="L46" i="29"/>
  <c r="J47" i="29"/>
  <c r="K47" i="29"/>
  <c r="L47" i="29"/>
  <c r="J48" i="29"/>
  <c r="K48" i="29"/>
  <c r="L48" i="29"/>
  <c r="J49" i="29"/>
  <c r="K49" i="29"/>
  <c r="L49" i="29"/>
  <c r="J50" i="29"/>
  <c r="K50" i="29"/>
  <c r="L50" i="29"/>
  <c r="M32" i="29"/>
  <c r="M33" i="29"/>
  <c r="M34" i="29"/>
  <c r="M35" i="29"/>
  <c r="M36" i="29"/>
  <c r="M37" i="29"/>
  <c r="M38" i="29"/>
  <c r="M39" i="29"/>
  <c r="M40" i="29"/>
  <c r="M41" i="29"/>
  <c r="M42" i="29"/>
  <c r="M43" i="29"/>
  <c r="M44" i="29"/>
  <c r="M45" i="29"/>
  <c r="M46" i="29"/>
  <c r="M47" i="29"/>
  <c r="M48" i="29"/>
  <c r="M49" i="29"/>
  <c r="M50" i="29"/>
  <c r="N37" i="29"/>
  <c r="O37" i="29"/>
  <c r="P37" i="29"/>
  <c r="Q37" i="29"/>
  <c r="N38" i="29"/>
  <c r="O38" i="29"/>
  <c r="P38" i="29"/>
  <c r="Q38" i="29"/>
  <c r="N39" i="29"/>
  <c r="O39" i="29"/>
  <c r="P39" i="29"/>
  <c r="Q39" i="29"/>
  <c r="N40" i="29"/>
  <c r="O40" i="29"/>
  <c r="P40" i="29"/>
  <c r="Q40" i="29"/>
  <c r="N41" i="29"/>
  <c r="O41" i="29"/>
  <c r="P41" i="29"/>
  <c r="Q41" i="29"/>
  <c r="N42" i="29"/>
  <c r="O42" i="29"/>
  <c r="P42" i="29"/>
  <c r="Q42" i="29"/>
  <c r="N43" i="29"/>
  <c r="O43" i="29"/>
  <c r="P43" i="29"/>
  <c r="Q43" i="29"/>
  <c r="N44" i="29"/>
  <c r="O44" i="29"/>
  <c r="P44" i="29"/>
  <c r="Q44" i="29"/>
  <c r="N45" i="29"/>
  <c r="O45" i="29"/>
  <c r="P45" i="29"/>
  <c r="Q45" i="29"/>
  <c r="N46" i="29"/>
  <c r="O46" i="29"/>
  <c r="P46" i="29"/>
  <c r="Q46" i="29"/>
  <c r="N47" i="29"/>
  <c r="O47" i="29"/>
  <c r="P47" i="29"/>
  <c r="Q47" i="29"/>
  <c r="N48" i="29"/>
  <c r="O48" i="29"/>
  <c r="P48" i="29"/>
  <c r="Q48" i="29"/>
  <c r="N49" i="29"/>
  <c r="O49" i="29"/>
  <c r="P49" i="29"/>
  <c r="Q49" i="29"/>
  <c r="N50" i="29"/>
  <c r="O50" i="29"/>
  <c r="P50" i="29"/>
  <c r="Q50" i="29"/>
  <c r="H45" i="3"/>
  <c r="H46" i="3"/>
  <c r="H47" i="3"/>
  <c r="H48" i="3"/>
  <c r="H49" i="3"/>
  <c r="H50" i="3"/>
  <c r="H36" i="3"/>
  <c r="H37" i="3"/>
  <c r="H38" i="3"/>
  <c r="H39" i="3"/>
  <c r="H40" i="3"/>
  <c r="H41" i="3"/>
  <c r="H42" i="3"/>
  <c r="H43" i="3"/>
  <c r="H44" i="3"/>
  <c r="N36" i="29"/>
  <c r="O36" i="29"/>
  <c r="P36" i="29"/>
  <c r="H35" i="3"/>
  <c r="L35" i="3"/>
  <c r="L36" i="3"/>
  <c r="L37" i="3"/>
  <c r="L38" i="3"/>
  <c r="L39" i="3"/>
  <c r="L40" i="3"/>
  <c r="L41" i="3"/>
  <c r="L42" i="3"/>
  <c r="L43" i="3"/>
  <c r="L44" i="3"/>
  <c r="L45" i="3"/>
  <c r="L46" i="3"/>
  <c r="L47" i="3"/>
  <c r="L48" i="3"/>
  <c r="L49" i="3"/>
  <c r="L50" i="3"/>
  <c r="K35" i="3"/>
  <c r="K36" i="3"/>
  <c r="K37" i="3"/>
  <c r="K38" i="3"/>
  <c r="K39" i="3"/>
  <c r="K40" i="3"/>
  <c r="K41" i="3"/>
  <c r="K42" i="3"/>
  <c r="K43" i="3"/>
  <c r="K44" i="3"/>
  <c r="K45" i="3"/>
  <c r="K46" i="3"/>
  <c r="K47" i="3"/>
  <c r="K48" i="3"/>
  <c r="K49" i="3"/>
  <c r="K50" i="3"/>
  <c r="Q36" i="29"/>
  <c r="H34" i="3"/>
  <c r="H33" i="3"/>
  <c r="O35" i="29"/>
  <c r="P34" i="29"/>
  <c r="N35" i="29"/>
  <c r="N34" i="29"/>
  <c r="P35" i="29"/>
  <c r="O34" i="29"/>
  <c r="L33" i="3"/>
  <c r="L34" i="3"/>
  <c r="K34" i="3"/>
  <c r="K33" i="3"/>
  <c r="Q34" i="29"/>
  <c r="Q35" i="29"/>
  <c r="H32" i="3"/>
  <c r="H31" i="3"/>
  <c r="L31" i="3"/>
  <c r="K31" i="3"/>
  <c r="L32" i="3"/>
  <c r="K32" i="3"/>
  <c r="O33" i="29"/>
  <c r="N33" i="29"/>
  <c r="N32" i="29"/>
  <c r="P32" i="29"/>
  <c r="O32" i="29"/>
  <c r="P33" i="29"/>
  <c r="Q33" i="29"/>
  <c r="Q32" i="29"/>
  <c r="D2" i="3" l="1" a="1"/>
  <c r="D2" i="3" s="1"/>
  <c r="C2" i="3" a="1"/>
  <c r="C2" i="3" s="1"/>
  <c r="A2" i="3" a="1"/>
  <c r="D3" i="29" a="1"/>
  <c r="D3" i="29" s="1"/>
  <c r="A3" i="29" a="1"/>
  <c r="A3" i="29" s="1"/>
  <c r="C3" i="29" a="1"/>
  <c r="C3" i="29" s="1"/>
  <c r="A2" i="3" l="1"/>
  <c r="M2" i="3" s="1"/>
  <c r="M21" i="3"/>
  <c r="M28" i="3"/>
  <c r="M16" i="3"/>
  <c r="M27" i="3"/>
  <c r="M15" i="3"/>
  <c r="M7" i="3"/>
  <c r="M13" i="3"/>
  <c r="M24" i="3"/>
  <c r="M29" i="3"/>
  <c r="M23" i="3"/>
  <c r="M9" i="3"/>
  <c r="M18" i="3"/>
  <c r="M6" i="3"/>
  <c r="M17" i="3"/>
  <c r="M11" i="3"/>
  <c r="M20" i="3"/>
  <c r="M4" i="3"/>
  <c r="M26" i="3"/>
  <c r="M8" i="3"/>
  <c r="M14" i="3"/>
  <c r="M19" i="3"/>
  <c r="M3" i="3"/>
  <c r="M30" i="3"/>
  <c r="M12" i="3"/>
  <c r="M10" i="3"/>
  <c r="M5" i="3"/>
  <c r="M25" i="3"/>
  <c r="M22" i="3"/>
  <c r="H24" i="3"/>
  <c r="H21" i="3"/>
  <c r="H18" i="3"/>
  <c r="H15" i="3"/>
  <c r="H22" i="3"/>
  <c r="H20" i="3"/>
  <c r="H10" i="3"/>
  <c r="H7" i="3"/>
  <c r="H6" i="3"/>
  <c r="H3" i="3"/>
  <c r="H4" i="3"/>
  <c r="H2" i="3"/>
  <c r="H14" i="3"/>
  <c r="H23" i="3"/>
  <c r="H19" i="3"/>
  <c r="H11" i="3"/>
  <c r="H8" i="3"/>
  <c r="H28" i="3"/>
  <c r="H26" i="3"/>
  <c r="H16" i="3"/>
  <c r="H17" i="3"/>
  <c r="H12" i="3"/>
  <c r="H13" i="3"/>
  <c r="H9" i="3"/>
  <c r="H30" i="3"/>
  <c r="H29" i="3"/>
  <c r="H5" i="3"/>
  <c r="H27" i="3"/>
  <c r="H25" i="3"/>
  <c r="G3" i="29" l="1" a="1"/>
  <c r="G3" i="29" l="1"/>
  <c r="N26" i="29"/>
  <c r="J9" i="29"/>
  <c r="P20" i="29"/>
  <c r="J12" i="29"/>
  <c r="N16" i="29"/>
  <c r="J6" i="29"/>
  <c r="P8" i="29"/>
  <c r="L14" i="29"/>
  <c r="P11" i="29"/>
  <c r="O5" i="29"/>
  <c r="P12" i="29"/>
  <c r="J22" i="29"/>
  <c r="N7" i="29"/>
  <c r="K22" i="29"/>
  <c r="J10" i="29"/>
  <c r="P29" i="29"/>
  <c r="J15" i="29"/>
  <c r="K4" i="29"/>
  <c r="P15" i="29"/>
  <c r="K13" i="29"/>
  <c r="J27" i="29"/>
  <c r="L5" i="29"/>
  <c r="N14" i="29"/>
  <c r="K27" i="29"/>
  <c r="K17" i="29"/>
  <c r="N4" i="29"/>
  <c r="K11" i="29"/>
  <c r="O31" i="29"/>
  <c r="L18" i="29"/>
  <c r="K31" i="29"/>
  <c r="K7" i="29"/>
  <c r="P28" i="29"/>
  <c r="O16" i="29"/>
  <c r="O30" i="29"/>
  <c r="O12" i="29"/>
  <c r="L11" i="29"/>
  <c r="N11" i="29"/>
  <c r="L13" i="29"/>
  <c r="K21" i="29"/>
  <c r="N21" i="29"/>
  <c r="L20" i="29"/>
  <c r="J17" i="29"/>
  <c r="L4" i="29"/>
  <c r="N18" i="29"/>
  <c r="P6" i="29"/>
  <c r="P5" i="29"/>
  <c r="P26" i="29"/>
  <c r="O25" i="29"/>
  <c r="O19" i="29"/>
  <c r="O9" i="29"/>
  <c r="N25" i="29"/>
  <c r="O28" i="29"/>
  <c r="K30" i="29"/>
  <c r="P10" i="29"/>
  <c r="P19" i="29"/>
  <c r="N6" i="29"/>
  <c r="P16" i="29"/>
  <c r="O27" i="29"/>
  <c r="L23" i="29"/>
  <c r="O29" i="29"/>
  <c r="L22" i="29"/>
  <c r="K24" i="29"/>
  <c r="K8" i="29"/>
  <c r="J14" i="29"/>
  <c r="K26" i="29"/>
  <c r="P22" i="29"/>
  <c r="P7" i="29"/>
  <c r="P4" i="29"/>
  <c r="L27" i="29"/>
  <c r="O8" i="29"/>
  <c r="K18" i="29"/>
  <c r="P17" i="29"/>
  <c r="J7" i="29"/>
  <c r="N24" i="29"/>
  <c r="J20" i="29"/>
  <c r="P31" i="29"/>
  <c r="J25" i="29"/>
  <c r="L3" i="29"/>
  <c r="L6" i="29"/>
  <c r="K6" i="29"/>
  <c r="J13" i="29"/>
  <c r="J30" i="29"/>
  <c r="L21" i="29"/>
  <c r="O14" i="29"/>
  <c r="L30" i="29"/>
  <c r="O20" i="29"/>
  <c r="P24" i="29"/>
  <c r="O3" i="29"/>
  <c r="P23" i="29"/>
  <c r="N9" i="29"/>
  <c r="N31" i="29"/>
  <c r="K23" i="29"/>
  <c r="J31" i="29"/>
  <c r="N5" i="29"/>
  <c r="L17" i="29"/>
  <c r="O15" i="29"/>
  <c r="K14" i="29"/>
  <c r="L12" i="29"/>
  <c r="L26" i="29"/>
  <c r="O23" i="29"/>
  <c r="J5" i="29"/>
  <c r="L10" i="29"/>
  <c r="P27" i="29"/>
  <c r="O18" i="29"/>
  <c r="K5" i="29"/>
  <c r="L24" i="29"/>
  <c r="J11" i="29"/>
  <c r="O7" i="29"/>
  <c r="K10" i="29"/>
  <c r="K29" i="29"/>
  <c r="N10" i="29"/>
  <c r="K19" i="29"/>
  <c r="K12" i="29"/>
  <c r="O26" i="29"/>
  <c r="J16" i="29"/>
  <c r="N15" i="29"/>
  <c r="N20" i="29"/>
  <c r="P25" i="29"/>
  <c r="P13" i="29"/>
  <c r="N8" i="29"/>
  <c r="O11" i="29"/>
  <c r="O13" i="29"/>
  <c r="K28" i="29"/>
  <c r="O24" i="29"/>
  <c r="J4" i="29"/>
  <c r="P14" i="29"/>
  <c r="L7" i="29"/>
  <c r="L8" i="29"/>
  <c r="L15" i="29"/>
  <c r="O22" i="29"/>
  <c r="L16" i="29"/>
  <c r="N13" i="29"/>
  <c r="K15" i="29"/>
  <c r="J23" i="29"/>
  <c r="N27" i="29"/>
  <c r="K25" i="29"/>
  <c r="O21" i="29"/>
  <c r="K3" i="29"/>
  <c r="N22" i="29"/>
  <c r="J29" i="29"/>
  <c r="N19" i="29"/>
  <c r="P30" i="29"/>
  <c r="P3" i="29"/>
  <c r="P21" i="29"/>
  <c r="J26" i="29"/>
  <c r="J21" i="29"/>
  <c r="O17" i="29"/>
  <c r="N30" i="29"/>
  <c r="J24" i="29"/>
  <c r="K20" i="29"/>
  <c r="O10" i="29"/>
  <c r="L31" i="29"/>
  <c r="J28" i="29"/>
  <c r="L28" i="29"/>
  <c r="L19" i="29"/>
  <c r="P18" i="29"/>
  <c r="J19" i="29"/>
  <c r="L25" i="29"/>
  <c r="N12" i="29"/>
  <c r="O4" i="29"/>
  <c r="L29" i="29"/>
  <c r="N17" i="29"/>
  <c r="J18" i="29"/>
  <c r="N23" i="29"/>
  <c r="P9" i="29"/>
  <c r="O6" i="29"/>
  <c r="N29" i="29"/>
  <c r="K16" i="29"/>
  <c r="K9" i="29"/>
  <c r="J8" i="29"/>
  <c r="L9" i="29"/>
  <c r="N28" i="29"/>
  <c r="I2" i="3" a="1"/>
  <c r="M18" i="29" l="1"/>
  <c r="M21" i="29"/>
  <c r="M26" i="29"/>
  <c r="M7" i="29"/>
  <c r="M4" i="29"/>
  <c r="M19" i="29"/>
  <c r="M30" i="29"/>
  <c r="M29" i="29"/>
  <c r="M20" i="29"/>
  <c r="M28" i="29"/>
  <c r="M31" i="29"/>
  <c r="M13" i="29"/>
  <c r="M27" i="29"/>
  <c r="M16" i="29"/>
  <c r="K14" i="3"/>
  <c r="N14" i="3" s="1"/>
  <c r="L10" i="3"/>
  <c r="O10" i="3" s="1"/>
  <c r="K28" i="3"/>
  <c r="N28" i="3" s="1"/>
  <c r="L20" i="3"/>
  <c r="O20" i="3" s="1"/>
  <c r="K23" i="3"/>
  <c r="N23" i="3" s="1"/>
  <c r="L9" i="3"/>
  <c r="O9" i="3" s="1"/>
  <c r="K29" i="3"/>
  <c r="N29" i="3" s="1"/>
  <c r="L5" i="3"/>
  <c r="O5" i="3" s="1"/>
  <c r="L6" i="3"/>
  <c r="O6" i="3" s="1"/>
  <c r="K10" i="3"/>
  <c r="N10" i="3" s="1"/>
  <c r="L24" i="3"/>
  <c r="O24" i="3" s="1"/>
  <c r="L30" i="3"/>
  <c r="O30" i="3" s="1"/>
  <c r="L12" i="3"/>
  <c r="O12" i="3" s="1"/>
  <c r="K18" i="3"/>
  <c r="N18" i="3" s="1"/>
  <c r="L14" i="3"/>
  <c r="O14" i="3" s="1"/>
  <c r="L7" i="3"/>
  <c r="O7" i="3" s="1"/>
  <c r="L13" i="3"/>
  <c r="O13" i="3" s="1"/>
  <c r="K24" i="3"/>
  <c r="N24" i="3" s="1"/>
  <c r="L27" i="3"/>
  <c r="O27" i="3" s="1"/>
  <c r="K11" i="3"/>
  <c r="N11" i="3" s="1"/>
  <c r="K27" i="3"/>
  <c r="N27" i="3" s="1"/>
  <c r="L16" i="3"/>
  <c r="O16" i="3" s="1"/>
  <c r="K19" i="3"/>
  <c r="N19" i="3" s="1"/>
  <c r="K21" i="3"/>
  <c r="N21" i="3" s="1"/>
  <c r="K13" i="3"/>
  <c r="N13" i="3" s="1"/>
  <c r="L21" i="3"/>
  <c r="O21" i="3" s="1"/>
  <c r="L2" i="3"/>
  <c r="O2" i="3" s="1"/>
  <c r="K30" i="3"/>
  <c r="N30" i="3" s="1"/>
  <c r="L8" i="3"/>
  <c r="O8" i="3" s="1"/>
  <c r="L29" i="3"/>
  <c r="O29" i="3" s="1"/>
  <c r="K26" i="3"/>
  <c r="N26" i="3" s="1"/>
  <c r="L4" i="3"/>
  <c r="O4" i="3" s="1"/>
  <c r="K3" i="3"/>
  <c r="N3" i="3" s="1"/>
  <c r="L18" i="3"/>
  <c r="O18" i="3" s="1"/>
  <c r="I2" i="3"/>
  <c r="K2" i="3" s="1"/>
  <c r="N2" i="3" s="1"/>
  <c r="E3" i="29" s="1" a="1"/>
  <c r="L26" i="3"/>
  <c r="O26" i="3" s="1"/>
  <c r="L3" i="3"/>
  <c r="O3" i="3" s="1"/>
  <c r="K5" i="3"/>
  <c r="N5" i="3" s="1"/>
  <c r="K16" i="3"/>
  <c r="N16" i="3" s="1"/>
  <c r="K6" i="3"/>
  <c r="N6" i="3" s="1"/>
  <c r="K22" i="3"/>
  <c r="N22" i="3" s="1"/>
  <c r="L19" i="3"/>
  <c r="O19" i="3" s="1"/>
  <c r="K4" i="3"/>
  <c r="N4" i="3" s="1"/>
  <c r="L11" i="3"/>
  <c r="O11" i="3" s="1"/>
  <c r="L23" i="3"/>
  <c r="O23" i="3" s="1"/>
  <c r="L25" i="3"/>
  <c r="O25" i="3" s="1"/>
  <c r="K12" i="3"/>
  <c r="N12" i="3" s="1"/>
  <c r="K15" i="3"/>
  <c r="N15" i="3" s="1"/>
  <c r="K8" i="3"/>
  <c r="N8" i="3" s="1"/>
  <c r="K17" i="3"/>
  <c r="N17" i="3" s="1"/>
  <c r="L22" i="3"/>
  <c r="O22" i="3" s="1"/>
  <c r="L17" i="3"/>
  <c r="O17" i="3" s="1"/>
  <c r="K20" i="3"/>
  <c r="N20" i="3" s="1"/>
  <c r="L28" i="3"/>
  <c r="O28" i="3" s="1"/>
  <c r="K25" i="3"/>
  <c r="N25" i="3" s="1"/>
  <c r="K9" i="3"/>
  <c r="N9" i="3" s="1"/>
  <c r="K7" i="3"/>
  <c r="N7" i="3" s="1"/>
  <c r="L15" i="3"/>
  <c r="O15" i="3" s="1"/>
  <c r="M17" i="29"/>
  <c r="M6" i="29"/>
  <c r="M24" i="29"/>
  <c r="M5" i="29"/>
  <c r="M25" i="29"/>
  <c r="M15" i="29"/>
  <c r="M14" i="29"/>
  <c r="M12" i="29"/>
  <c r="M10" i="29"/>
  <c r="M8" i="29"/>
  <c r="M23" i="29"/>
  <c r="M9" i="29"/>
  <c r="M22" i="29"/>
  <c r="J3" i="29"/>
  <c r="M3" i="29" s="1"/>
  <c r="N3" i="29"/>
  <c r="M11" i="29"/>
  <c r="E3" i="29" l="1"/>
  <c r="Q6" i="29"/>
  <c r="Q24" i="29"/>
  <c r="Q25" i="29"/>
  <c r="Q15" i="29"/>
  <c r="Q23" i="29"/>
  <c r="Q26" i="29"/>
  <c r="Q17" i="29"/>
  <c r="Q20" i="29"/>
  <c r="Q10" i="29"/>
  <c r="Q21" i="29"/>
  <c r="Q27" i="29"/>
  <c r="Q16" i="29"/>
  <c r="Q11" i="29"/>
  <c r="Q8" i="29"/>
  <c r="Q30" i="29"/>
  <c r="Q28" i="29"/>
  <c r="Q31" i="29"/>
  <c r="Q29" i="29"/>
  <c r="Q5" i="29"/>
  <c r="Q14" i="29"/>
  <c r="Q4" i="29"/>
  <c r="Q18" i="29"/>
  <c r="Q12" i="29"/>
  <c r="Q22" i="29"/>
  <c r="Q13" i="29"/>
  <c r="Q9" i="29"/>
  <c r="Q19" i="29"/>
  <c r="Q7" i="29"/>
  <c r="Q3" i="29" l="1"/>
  <c r="F28" i="54" l="1"/>
  <c r="F2" i="54"/>
  <c r="F4" i="54"/>
  <c r="F5" i="54"/>
  <c r="F12" i="54"/>
  <c r="F14" i="54"/>
  <c r="F17" i="54"/>
  <c r="F21" i="54"/>
  <c r="F19" i="54"/>
  <c r="F11" i="54"/>
  <c r="F15" i="54"/>
  <c r="F24" i="54"/>
  <c r="F10" i="54"/>
  <c r="F30" i="54"/>
  <c r="F27" i="54"/>
  <c r="F26" i="54"/>
  <c r="F25" i="54"/>
  <c r="F18" i="54"/>
  <c r="F23" i="54"/>
  <c r="F8" i="54"/>
  <c r="F7" i="54"/>
  <c r="G5" i="54" l="1"/>
  <c r="I5" i="43"/>
  <c r="G10" i="54"/>
  <c r="I10" i="43"/>
  <c r="G3" i="54"/>
  <c r="G7" i="54"/>
  <c r="I7" i="43"/>
  <c r="G6" i="54"/>
  <c r="G12" i="54"/>
  <c r="I12" i="43"/>
  <c r="G24" i="54"/>
  <c r="I24" i="43"/>
  <c r="F22" i="54"/>
  <c r="G21" i="54"/>
  <c r="I21" i="43"/>
  <c r="G27" i="54"/>
  <c r="I27" i="43"/>
  <c r="F13" i="54"/>
  <c r="I30" i="43"/>
  <c r="G30" i="54" s="1"/>
  <c r="G13" i="54"/>
  <c r="F20" i="54"/>
  <c r="G8" i="54"/>
  <c r="I8" i="43"/>
  <c r="G20" i="54"/>
  <c r="F29" i="54"/>
  <c r="G23" i="54"/>
  <c r="I23" i="43"/>
  <c r="G29" i="54"/>
  <c r="G25" i="54"/>
  <c r="I25" i="43"/>
  <c r="G17" i="54"/>
  <c r="I17" i="43"/>
  <c r="G18" i="54"/>
  <c r="I18" i="43"/>
  <c r="G11" i="54"/>
  <c r="I11" i="43"/>
  <c r="G26" i="54"/>
  <c r="I26" i="43"/>
  <c r="G22" i="54"/>
  <c r="G16" i="54"/>
  <c r="G28" i="54"/>
  <c r="I28" i="43"/>
  <c r="G2" i="54"/>
  <c r="I2" i="43"/>
  <c r="F3" i="54"/>
  <c r="G14" i="54"/>
  <c r="I14" i="43"/>
  <c r="F6" i="54"/>
  <c r="F9" i="54"/>
  <c r="G9" i="54"/>
  <c r="G15" i="54"/>
  <c r="I15" i="43"/>
  <c r="F16" i="54"/>
  <c r="I19" i="43"/>
  <c r="G19" i="54" s="1"/>
  <c r="I20" i="43" l="1"/>
  <c r="I22" i="43"/>
  <c r="I9" i="43"/>
  <c r="I13" i="43"/>
  <c r="I6" i="43"/>
  <c r="I3" i="43"/>
  <c r="I29" i="43"/>
  <c r="G4" i="54"/>
  <c r="I4" i="43"/>
  <c r="I16" i="43"/>
  <c r="I18" i="55" l="1"/>
  <c r="H13" i="55"/>
  <c r="I8" i="55"/>
  <c r="I12" i="55"/>
  <c r="H9" i="55"/>
  <c r="H6" i="55"/>
  <c r="H14" i="55"/>
  <c r="H25" i="55"/>
  <c r="I20" i="55"/>
  <c r="H8" i="55"/>
  <c r="I5" i="55"/>
  <c r="H17" i="55"/>
  <c r="H30" i="55"/>
  <c r="I23" i="55"/>
  <c r="H22" i="55"/>
  <c r="I7" i="55"/>
  <c r="I22" i="55"/>
  <c r="H26" i="55"/>
  <c r="H2" i="55"/>
  <c r="I24" i="55"/>
  <c r="H4" i="55"/>
  <c r="I11" i="55"/>
  <c r="H15" i="55"/>
  <c r="I3" i="55"/>
  <c r="I26" i="55"/>
  <c r="H7" i="55"/>
  <c r="I9" i="55"/>
  <c r="H24" i="55"/>
  <c r="H21" i="55"/>
  <c r="H20" i="55"/>
  <c r="H19" i="55"/>
  <c r="I14" i="55"/>
  <c r="H27" i="55"/>
  <c r="I25" i="55"/>
  <c r="H23" i="55"/>
  <c r="I13" i="55"/>
  <c r="I19" i="55"/>
  <c r="H5" i="55"/>
  <c r="I16" i="55"/>
  <c r="I2" i="55"/>
  <c r="I28" i="55"/>
  <c r="I21" i="55"/>
  <c r="H16" i="55"/>
  <c r="H28" i="55"/>
  <c r="H3" i="55"/>
  <c r="H12" i="55"/>
  <c r="H29" i="55"/>
  <c r="I29" i="55"/>
  <c r="H10" i="55"/>
  <c r="I15" i="55"/>
  <c r="I30" i="55"/>
  <c r="I10" i="55"/>
  <c r="I27" i="55"/>
  <c r="I6" i="55"/>
  <c r="H11" i="55"/>
  <c r="I4" i="55"/>
  <c r="I17" i="55"/>
  <c r="H18" i="55"/>
  <c r="M7" i="49" l="1"/>
  <c r="N7" i="49" s="1"/>
  <c r="O7" i="49" s="1"/>
  <c r="M29" i="49"/>
  <c r="N29" i="49" s="1"/>
  <c r="O29" i="49" s="1"/>
  <c r="M28" i="49"/>
  <c r="M13" i="49"/>
  <c r="M23" i="49"/>
  <c r="M15" i="49"/>
  <c r="M2" i="49"/>
  <c r="M19" i="49"/>
  <c r="M26" i="49"/>
  <c r="M18" i="49"/>
  <c r="M5" i="49"/>
  <c r="M21" i="49"/>
  <c r="M14" i="49"/>
  <c r="M6" i="49"/>
  <c r="M4" i="49"/>
  <c r="M27" i="49"/>
  <c r="M11" i="49"/>
  <c r="M3" i="49"/>
  <c r="M9" i="49"/>
  <c r="M16" i="49"/>
  <c r="M17" i="49"/>
  <c r="M30" i="49"/>
  <c r="M20" i="49"/>
  <c r="M24" i="49"/>
  <c r="M22" i="49"/>
  <c r="M25" i="49"/>
  <c r="M8" i="49"/>
  <c r="M12" i="49"/>
  <c r="M10" i="49"/>
  <c r="I12" i="49" l="1"/>
  <c r="J12" i="49" s="1"/>
  <c r="I19" i="49"/>
  <c r="J19" i="49" s="1"/>
  <c r="K19" i="49" s="1"/>
  <c r="I4" i="49"/>
  <c r="N12" i="49"/>
  <c r="O12" i="49" s="1"/>
  <c r="N8" i="49"/>
  <c r="O8" i="49" s="1"/>
  <c r="N19" i="49"/>
  <c r="O19" i="49" s="1"/>
  <c r="I9" i="49"/>
  <c r="N16" i="49"/>
  <c r="O16" i="49" s="1"/>
  <c r="N2" i="49"/>
  <c r="O2" i="49" s="1"/>
  <c r="N9" i="49"/>
  <c r="O9" i="49" s="1"/>
  <c r="N15" i="49"/>
  <c r="O15" i="49" s="1"/>
  <c r="N10" i="49"/>
  <c r="O10" i="49" s="1"/>
  <c r="I28" i="49"/>
  <c r="N30" i="49"/>
  <c r="O30" i="49" s="1"/>
  <c r="N6" i="49"/>
  <c r="O6" i="49" s="1"/>
  <c r="I17" i="49"/>
  <c r="I21" i="49"/>
  <c r="N17" i="49"/>
  <c r="O17" i="49" s="1"/>
  <c r="N14" i="49"/>
  <c r="O14" i="49" s="1"/>
  <c r="I20" i="49"/>
  <c r="I24" i="49"/>
  <c r="N21" i="49"/>
  <c r="O21" i="49" s="1"/>
  <c r="I14" i="49"/>
  <c r="N25" i="49"/>
  <c r="O25" i="49" s="1"/>
  <c r="I8" i="49"/>
  <c r="I27" i="49"/>
  <c r="I3" i="49"/>
  <c r="I2" i="49"/>
  <c r="N23" i="49"/>
  <c r="O23" i="49" s="1"/>
  <c r="I25" i="49"/>
  <c r="I15" i="49"/>
  <c r="N18" i="49"/>
  <c r="O18" i="49" s="1"/>
  <c r="I10" i="49"/>
  <c r="N26" i="49"/>
  <c r="O26" i="49" s="1"/>
  <c r="I22" i="49"/>
  <c r="I16" i="49"/>
  <c r="I6" i="49"/>
  <c r="N13" i="49"/>
  <c r="O13" i="49" s="1"/>
  <c r="I26" i="49"/>
  <c r="N22" i="49"/>
  <c r="O22" i="49" s="1"/>
  <c r="N11" i="49"/>
  <c r="O11" i="49" s="1"/>
  <c r="I30" i="49"/>
  <c r="N28" i="49"/>
  <c r="O28" i="49" s="1"/>
  <c r="I11" i="49"/>
  <c r="I23" i="49"/>
  <c r="I5" i="49"/>
  <c r="N3" i="49"/>
  <c r="O3" i="49" s="1"/>
  <c r="I13" i="49"/>
  <c r="I7" i="49"/>
  <c r="I29" i="49"/>
  <c r="N24" i="49"/>
  <c r="O24" i="49" s="1"/>
  <c r="N27" i="49"/>
  <c r="O27" i="49" s="1"/>
  <c r="I18" i="49"/>
  <c r="N20" i="49"/>
  <c r="O20" i="49" s="1"/>
  <c r="N4" i="49"/>
  <c r="O4" i="49" s="1"/>
  <c r="N5" i="49"/>
  <c r="O5" i="49" s="1"/>
  <c r="E23" i="45"/>
  <c r="K12" i="49" l="1"/>
  <c r="J3" i="52"/>
  <c r="K3" i="52" s="1"/>
  <c r="F3" i="50" s="1"/>
  <c r="H3" i="50" s="1"/>
  <c r="J2" i="52"/>
  <c r="K2" i="52" s="1"/>
  <c r="F2" i="50" s="1"/>
  <c r="H2" i="50" s="1"/>
  <c r="J13" i="49"/>
  <c r="K13" i="49" s="1"/>
  <c r="J23" i="49"/>
  <c r="K23" i="49" s="1"/>
  <c r="J11" i="49"/>
  <c r="K11" i="49" s="1"/>
  <c r="J22" i="49"/>
  <c r="K22" i="49" s="1"/>
  <c r="J26" i="49"/>
  <c r="K26" i="49" s="1"/>
  <c r="J5" i="49"/>
  <c r="K5" i="49" s="1"/>
  <c r="J6" i="49"/>
  <c r="K6" i="49" s="1"/>
  <c r="J20" i="49"/>
  <c r="K20" i="49" s="1"/>
  <c r="J9" i="49"/>
  <c r="K9" i="49" s="1"/>
  <c r="J18" i="49"/>
  <c r="K18" i="49" s="1"/>
  <c r="J16" i="49"/>
  <c r="K16" i="49" s="1"/>
  <c r="J2" i="49"/>
  <c r="K2" i="49" s="1"/>
  <c r="J3" i="49"/>
  <c r="K3" i="49" s="1"/>
  <c r="J15" i="49"/>
  <c r="K15" i="49" s="1"/>
  <c r="J24" i="49"/>
  <c r="K24" i="49" s="1"/>
  <c r="J30" i="49"/>
  <c r="K30" i="49" s="1"/>
  <c r="J27" i="49"/>
  <c r="K27" i="49" s="1"/>
  <c r="J10" i="49"/>
  <c r="K10" i="49" s="1"/>
  <c r="J8" i="49"/>
  <c r="K8" i="49" s="1"/>
  <c r="J21" i="49"/>
  <c r="K21" i="49" s="1"/>
  <c r="J25" i="49"/>
  <c r="K25" i="49" s="1"/>
  <c r="J28" i="49"/>
  <c r="K28" i="49" s="1"/>
  <c r="J29" i="49"/>
  <c r="K29" i="49" s="1"/>
  <c r="J17" i="49"/>
  <c r="K17" i="49" s="1"/>
  <c r="J14" i="49"/>
  <c r="K14" i="49" s="1"/>
  <c r="J7" i="49"/>
  <c r="K7" i="49" s="1"/>
  <c r="J4" i="49"/>
  <c r="K4" i="49" s="1"/>
  <c r="F24" i="45"/>
  <c r="G24" i="45" s="1"/>
  <c r="F23" i="45"/>
  <c r="G23" i="45" s="1"/>
  <c r="F25" i="45"/>
  <c r="G25" i="45" s="1"/>
  <c r="E2" i="52" l="1"/>
  <c r="F2" i="52" s="1"/>
  <c r="E2" i="50" s="1"/>
  <c r="G2" i="50" s="1"/>
  <c r="H2" i="56" s="1"/>
  <c r="E3" i="52"/>
  <c r="F3" i="52" s="1"/>
  <c r="E3" i="50" s="1"/>
  <c r="G3" i="50" s="1"/>
  <c r="E3" i="51" l="1"/>
  <c r="I3" i="56"/>
  <c r="I2" i="56"/>
  <c r="H3" i="56"/>
  <c r="E2" i="51" l="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<sst xmlns="http://schemas.openxmlformats.org/spreadsheetml/2006/main" count="1034" uniqueCount="206">
  <si>
    <t>Worksheet</t>
  </si>
  <si>
    <t>Description</t>
  </si>
  <si>
    <t>percentiles</t>
  </si>
  <si>
    <t>weight_thresholds</t>
  </si>
  <si>
    <t>Provides the weight thresholds that determine whether a benchmark price should be included in a cohort (e.g. the weight for population density must be above 0.1 for a benchmark to be included in the population density cohort).</t>
  </si>
  <si>
    <t>discount_rate</t>
  </si>
  <si>
    <t>licence_dates</t>
  </si>
  <si>
    <t>aus_data</t>
  </si>
  <si>
    <t>MSR-MHz-pop_index</t>
  </si>
  <si>
    <t>S1_benchmark_data</t>
  </si>
  <si>
    <t>S5_allocation_weights</t>
  </si>
  <si>
    <t>S6A_cohort_data</t>
  </si>
  <si>
    <t>S6A_cohort_analysis</t>
  </si>
  <si>
    <t>S6B_num_weighting</t>
  </si>
  <si>
    <t>S6C_intersection</t>
  </si>
  <si>
    <t>S9_prelim_valuations</t>
  </si>
  <si>
    <t>band</t>
  </si>
  <si>
    <t>percentile_bound</t>
  </si>
  <si>
    <t>value</t>
  </si>
  <si>
    <t>3.4 GHz</t>
  </si>
  <si>
    <t>lower</t>
  </si>
  <si>
    <t>upper</t>
  </si>
  <si>
    <t>weight</t>
  </si>
  <si>
    <t>threshold</t>
  </si>
  <si>
    <t>Real GDP per capita (US$)</t>
  </si>
  <si>
    <t># of MNOs</t>
  </si>
  <si>
    <t>Population density</t>
  </si>
  <si>
    <t>discount_rate_type</t>
  </si>
  <si>
    <t>discount_rate_duration</t>
  </si>
  <si>
    <t>WACC</t>
  </si>
  <si>
    <t>annual</t>
  </si>
  <si>
    <t>daily</t>
  </si>
  <si>
    <t>spectrum_band</t>
  </si>
  <si>
    <t>licence_start_date</t>
  </si>
  <si>
    <t>licence_end_date</t>
  </si>
  <si>
    <t>no_of_days</t>
  </si>
  <si>
    <t>year</t>
  </si>
  <si>
    <t>metric</t>
  </si>
  <si>
    <t>source</t>
  </si>
  <si>
    <t>aus_value</t>
  </si>
  <si>
    <t>World Bank, "World Development Indicators". Series Code NY.GDP.PCAP.KD (GDP per capita (constant 2015 US$)).</t>
  </si>
  <si>
    <t>ACMA</t>
  </si>
  <si>
    <t>World Bank, "World Development Indicators". Series Code EN.POP.DNST (Population density (people per sq. km of land area)).</t>
  </si>
  <si>
    <t>World Bank, "World Development Indicators". Series Code EN.POP.DNST (Population density (people per sq. km of land area)).
Value implied based on growth between 2022 and 2023 in Series Code SP.POP.TOTL (Population, total).</t>
  </si>
  <si>
    <t>Spot exchange rate</t>
  </si>
  <si>
    <t>World Bank, "World Development Indicators". Series Code PA.NUS.FCRF (Official exchange rate (LCU per US$, period average)).</t>
  </si>
  <si>
    <t>PPP exchange rate</t>
  </si>
  <si>
    <t>World Bank, "World Development Indicators". Series Code PA.NUS.PPP (PPP conversion factor, GDP (LCU per international $)).</t>
  </si>
  <si>
    <t>country</t>
  </si>
  <si>
    <t>allocation_year</t>
  </si>
  <si>
    <t>licence_start_date_year</t>
  </si>
  <si>
    <t>worldbank_spot</t>
  </si>
  <si>
    <t>worldbank_spot_AUD</t>
  </si>
  <si>
    <t>worldbank_PPP</t>
  </si>
  <si>
    <t>worldbank_PPP_AUD</t>
  </si>
  <si>
    <t>spot_PPP_ratio_AUD</t>
  </si>
  <si>
    <t>currency_used</t>
  </si>
  <si>
    <t>spot_exchange_rate_used</t>
  </si>
  <si>
    <t>PPP_exchange_rate_used</t>
  </si>
  <si>
    <t>Australia</t>
  </si>
  <si>
    <t>3.6 GHz</t>
  </si>
  <si>
    <t>local</t>
  </si>
  <si>
    <t>3.7 GHz</t>
  </si>
  <si>
    <t>Austria</t>
  </si>
  <si>
    <t>3.5 GHz</t>
  </si>
  <si>
    <t>Belgium</t>
  </si>
  <si>
    <t>Canada</t>
  </si>
  <si>
    <t>3.8 GHz</t>
  </si>
  <si>
    <t>Croatia</t>
  </si>
  <si>
    <t>Finland</t>
  </si>
  <si>
    <t>France</t>
  </si>
  <si>
    <t>Germany</t>
  </si>
  <si>
    <t>Greece</t>
  </si>
  <si>
    <t>Italy</t>
  </si>
  <si>
    <t>Lithuania</t>
  </si>
  <si>
    <t>Luxembourg</t>
  </si>
  <si>
    <t>Norway</t>
  </si>
  <si>
    <t>Poland</t>
  </si>
  <si>
    <t>EUR</t>
  </si>
  <si>
    <t>Portugal</t>
  </si>
  <si>
    <t>Slovakia</t>
  </si>
  <si>
    <t>Slovenia</t>
  </si>
  <si>
    <t>South Korea</t>
  </si>
  <si>
    <t>Spain</t>
  </si>
  <si>
    <t>Sweden</t>
  </si>
  <si>
    <t>United Kingdom</t>
  </si>
  <si>
    <t>United States</t>
  </si>
  <si>
    <t>3.45 GHz</t>
  </si>
  <si>
    <t>Uruguay</t>
  </si>
  <si>
    <t>USD</t>
  </si>
  <si>
    <t>financial_year</t>
  </si>
  <si>
    <t>mobile_service_revenue_millions</t>
  </si>
  <si>
    <t>spectrum_holdings_MHz</t>
  </si>
  <si>
    <t>national_population_juneqtr_millions</t>
  </si>
  <si>
    <t>MSR-MHz-pop</t>
  </si>
  <si>
    <t>MSR-MHz-pop_3yr_avg</t>
  </si>
  <si>
    <t>MSR-MHz-pop_3yr_avg_base2025</t>
  </si>
  <si>
    <t>MSR-MHz-pop_weighted</t>
  </si>
  <si>
    <t>MSR-MHz-pop_weighted_3yr_avg</t>
  </si>
  <si>
    <t>MSR-MHz-pop_weighted_3yr_avg_base2025</t>
  </si>
  <si>
    <t>N/A</t>
  </si>
  <si>
    <t>allocation_month</t>
  </si>
  <si>
    <t>duration_years</t>
  </si>
  <si>
    <t>duration_days</t>
  </si>
  <si>
    <t>total_revenue_local</t>
  </si>
  <si>
    <t>price-MHz-pop_local</t>
  </si>
  <si>
    <t>365day_price-MHz-pop_local</t>
  </si>
  <si>
    <t>365day_price-MHz-pop_AUD_spot-FX</t>
  </si>
  <si>
    <t>365day_price-MHz-pop_AUD_PPP-FX</t>
  </si>
  <si>
    <t>MSR-MHz-pop_index_value</t>
  </si>
  <si>
    <t>365day_price-MHz-pop_AUD_spot-FX_2025</t>
  </si>
  <si>
    <t>365day_price-MHz-pop_AUD_PPP-FX_2025</t>
  </si>
  <si>
    <t>GDP_per_capita_value</t>
  </si>
  <si>
    <t>no_of_MNOs_value</t>
  </si>
  <si>
    <t>popdensity_value</t>
  </si>
  <si>
    <t>GDP_per_capita_weight</t>
  </si>
  <si>
    <t>no_of_MNOs_weight</t>
  </si>
  <si>
    <t>popdensity_weight</t>
  </si>
  <si>
    <t>avg_allocation_weight</t>
  </si>
  <si>
    <t>GDP_per_capita_spot-FX_cohort</t>
  </si>
  <si>
    <t>no_of_MNOs_spot-FX_cohort</t>
  </si>
  <si>
    <t>popdensity_spot-FX_cohort</t>
  </si>
  <si>
    <t>GDP_per_capita_PPP-FX_cohort</t>
  </si>
  <si>
    <t>no_of_MNOs_PPP-FX_cohort</t>
  </si>
  <si>
    <t>popdensity_PPP-FX_cohort</t>
  </si>
  <si>
    <t>minimum</t>
  </si>
  <si>
    <t>median</t>
  </si>
  <si>
    <t>maximum</t>
  </si>
  <si>
    <t>weight_pct_contribution</t>
  </si>
  <si>
    <t>365day_price-MHz-pop_AUDspot2025</t>
  </si>
  <si>
    <t>365day_price-MHz-pop_AUDPPP2025</t>
  </si>
  <si>
    <t>rank_ascending_spot-FX</t>
  </si>
  <si>
    <t>rank_ascending_PPP-FX</t>
  </si>
  <si>
    <t>lower_percentile_spot-FX</t>
  </si>
  <si>
    <t>upper_percentile_spot-FX</t>
  </si>
  <si>
    <t>lower_percentile_PPP-FX</t>
  </si>
  <si>
    <t>upper_percentile_PPP-FX</t>
  </si>
  <si>
    <t>numweighting_bounds_spot-FX</t>
  </si>
  <si>
    <t>numweighting_bounds_PPP-FX</t>
  </si>
  <si>
    <t>bound</t>
  </si>
  <si>
    <t>GDP_per_capita_cohort_spot-FX</t>
  </si>
  <si>
    <t>no_of_MNOs_cohort_spot-FX</t>
  </si>
  <si>
    <t>popdensity_cohort_spot-FX</t>
  </si>
  <si>
    <t>numweighting_spot-FX</t>
  </si>
  <si>
    <t>combined_spot-FX</t>
  </si>
  <si>
    <t>GDP_per_capita_cohort_PPP-FX</t>
  </si>
  <si>
    <t>no_of_MNOs_cohort_PPP-FX</t>
  </si>
  <si>
    <t>popdensity_cohort_PPP-FX</t>
  </si>
  <si>
    <t>numweighting_PPP-FX</t>
  </si>
  <si>
    <t>combined_PPP-FX</t>
  </si>
  <si>
    <t>start_date</t>
  </si>
  <si>
    <t>MSR-MHz-pop_index_weighted_value</t>
  </si>
  <si>
    <t>365day_2025_spot-FX</t>
  </si>
  <si>
    <t>365day_2025_PPP-FX</t>
  </si>
  <si>
    <t>365day_startdate_spot-FX</t>
  </si>
  <si>
    <t>365day_startdate_PPP-FX</t>
  </si>
  <si>
    <t>fullduration_startdate_spot-FX</t>
  </si>
  <si>
    <t>fullduration_startdate_PPP-FX</t>
  </si>
  <si>
    <t>preliminary_price_range</t>
  </si>
  <si>
    <t>Country</t>
  </si>
  <si>
    <t>Frequency Band</t>
  </si>
  <si>
    <t>Year</t>
  </si>
  <si>
    <t>Identifier</t>
  </si>
  <si>
    <t>Duration
(Years)</t>
  </si>
  <si>
    <t>Duration (Days)</t>
  </si>
  <si>
    <t>Price/MHz/pop
(local)</t>
  </si>
  <si>
    <t>365-day Price/MHz/pop
(local)</t>
  </si>
  <si>
    <t>Exchange rate
(spot)</t>
  </si>
  <si>
    <t>Exchange rate
(PPP)</t>
  </si>
  <si>
    <t>A$ price
(spot)</t>
  </si>
  <si>
    <t>A$ price
(PPP)</t>
  </si>
  <si>
    <t>Index Value (2025 Base)</t>
  </si>
  <si>
    <t>365-day 2025 A$/MHz/pop price
(spot)</t>
  </si>
  <si>
    <t>365-day 2025 A$/MHz/pop price
(PPP)</t>
  </si>
  <si>
    <t>Weights - values</t>
  </si>
  <si>
    <t>Weights - ratios</t>
  </si>
  <si>
    <t>Weights - log ratios</t>
  </si>
  <si>
    <t>Average Weight</t>
  </si>
  <si>
    <t>band_group</t>
  </si>
  <si>
    <t>cohort_stat</t>
  </si>
  <si>
    <t>Provides the lower and upper bounds of the percentile ranges used to find the preliminary price range(s) for the group of bands.</t>
  </si>
  <si>
    <t>Provides the annual and daily weighted average cost of capital (WACC) rates used for valuation adjustments for different licence durations.</t>
  </si>
  <si>
    <t>Provides the start and end dates for licence renewals based on our preliminary views on licence duration.</t>
  </si>
  <si>
    <t>Provides Australian data for metrics so weighting ratios and currency conversions can be calculated.</t>
  </si>
  <si>
    <t>Provides the data used for the mobile service revenue per bandwidth (MHz) per head of population index (MSR/MHz/pop index). The 3-year average is (MSR-MHz-pop_3yr_avg) is used to carry forward benchmark valuations to different years. We have assumed the annual MSR/MHz/pop index will remain constant after 2025.</t>
  </si>
  <si>
    <t>The basic data for each benchmark price used. It includes allocation, timing and price details for each benchmark.</t>
  </si>
  <si>
    <t>S2_duration</t>
  </si>
  <si>
    <t>Benchmarking data is converted from full duration valuations to 365-day valuations using a flat annuity formula.</t>
  </si>
  <si>
    <t>S3_currency</t>
  </si>
  <si>
    <t>365-day valuations converted to Australian dollars separately with spot exchange rate and PPP exchange rate data.</t>
  </si>
  <si>
    <t>S4_timing</t>
  </si>
  <si>
    <t>365-day AUD valuations carried forward to the 2025 financial year by dividing by the applicable MSR/MHz/pop index value.</t>
  </si>
  <si>
    <t>Provides basic weighting data for each benchmark. Worksheet includes the actual values used for weighting (column titles ending with '_value') and the calculated weights (ending with '_weight'). The weights are the ratio of the weighting value to the Australian value in that year (the formula to calculate this changes depending on which value is higher out of Australia and the applicable country).</t>
  </si>
  <si>
    <t>Provides benchmarking data for different cohorts (the three weighting parameters are cohorts, with separate columns for spot and PPP exchange rates). Benchmarks are excluded from cohorts (see grey cells) where the weight is below the required threshold in the 'weight_thresholds' worksheet.</t>
  </si>
  <si>
    <t>Provides summary statistics for each cohort in the 'S6A_cohort_data' worksheet. The lower and upper bounds are based on the percentiles in the 'percentiles' worksheet. The minimum, median and maximum are provided for information.</t>
  </si>
  <si>
    <t>Compiles the lower and upper bounds for all cohorts and the numeric weighting analysis (for both spot and PPP exchange rates), then finds the intersection of values common to each sample (in the columns with titled beginning with 'combined_').</t>
  </si>
  <si>
    <t>S7_fwd_valuations</t>
  </si>
  <si>
    <t>The value ranges from the previous worksheet are carried forward to the financial year (ending June) of the start date of renewed licences.</t>
  </si>
  <si>
    <t>S8_expand_duration</t>
  </si>
  <si>
    <t xml:space="preserve">The value ranges from the previous worksheet are expanded to full licence duration using the flat annuity formula. </t>
  </si>
  <si>
    <t>Summarises the lower and upper bound data from the previous worksheet, then takes the intersection range common to spot and PPP exchange rate data to find the published preliminary price range for each spectrum band.</t>
  </si>
  <si>
    <t>percentile</t>
  </si>
  <si>
    <t/>
  </si>
  <si>
    <t>Provides benchmarking data (using spot and PPP) exchange rates, then calculates weighted percentiles for each benchmark. The lower and upper bounds occur where the applicable percentile falls within the lower and upper percentiles for that allocation (e.g. South Korea 3.5 GHz 2018 is the upper bound for spot exchange rate data, as the upper bound percentile is 0.61, which falls within its percentile range of 0.6078-0.6373).</t>
  </si>
  <si>
    <t>exchange_rates</t>
  </si>
  <si>
    <t>Outlines exchange rate data for each benchmark allocation. Conversions are based on allocation timing rather than timing of licence commencement. Exchange rate data is from the World Bank's "World Development Indicators" (note: spot exchange rates for the euro are calculated based on the daily average of representative rates in US dollars from the International Monetary Fund). Spot exchange rate data is in US dollars and the PPP exchange rate data is in international currency units, so conversions to Australian dollars have used the A$ value in the applicable data set for that year (see 'aus_data' worksheet). Adjustments have been made where source benchmarking data is not in the local currency.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</si>
</sst>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6" formatCode="&quot;$&quot;#,##0;[Red]\-&quot;$&quot;#,##0"/>
    <numFmt numFmtId="8" formatCode="&quot;$&quot;#,##0.00;[Red]\-&quot;$&quot;#,##0.00"/>
    <numFmt numFmtId="44" formatCode="_-&quot;$&quot;* #,##0.00_-;\-&quot;$&quot;* #,##0.00_-;_-&quot;$&quot;* &quot;-&quot;??_-;_-@_-"/>
    <numFmt numFmtId="164" formatCode="0.0000"/>
    <numFmt numFmtId="165" formatCode="_-&quot;$&quot;* #,##0.00000_-;\-&quot;$&quot;* #,##0.00000_-;_-&quot;$&quot;* &quot;-&quot;??_-;_-@_-"/>
    <numFmt numFmtId="166" formatCode="&quot;$&quot;#,##0.0000;[Red]\-&quot;$&quot;#,##0.0000"/>
    <numFmt numFmtId="167" formatCode="yyyy"/>
    <numFmt numFmtId="168" formatCode="0.0"/>
    <numFmt numFmtId="169" formatCode="&quot;$&quot;#,##0.00000;[Red]\-&quot;$&quot;#,##0.00000"/>
    <numFmt numFmtId="170" formatCode="&quot;$&quot;#,##0.00"/>
    <numFmt numFmtId="171" formatCode="0.000000%"/>
    <numFmt numFmtId="172" formatCode="#,##0.0000000"/>
    <numFmt numFmtId="173" formatCode="0.000000"/>
    <numFmt numFmtId="174" formatCode="mmm\ yyyy"/>
    <numFmt numFmtId="175" formatCode="0.0000_ ;[Red]\-0.0000\ "/>
  </numFmts>
  <fonts count="20"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family val="2"/>
    </font>
    <font>
      <b/>
      <sz val="10"/>
      <name val="Arial"/>
      <family val="2"/>
    </font>
    <font>
      <sz val="11"/>
      <name val="Calibri"/>
      <family val="2"/>
      <scheme val="minor"/>
    </font>
    <font>
      <sz val="10"/>
      <name val="Arial"/>
      <family val="2"/>
    </font>
    <font>
      <sz val="11"/>
      <color theme="1"/>
      <name val="Calibri Light"/>
      <family val="2"/>
      <scheme val="major"/>
    </font>
    <font>
      <b/>
      <sz val="11"/>
      <name val="Calibri"/>
      <family val="2"/>
      <scheme val="minor"/>
    </font>
    <font>
      <sz val="11"/>
      <color rgb="FFFF0000"/>
      <name val="Calibri"/>
      <family val="2"/>
      <scheme val="minor"/>
    </font>
    <font>
      <b/>
      <sz val="11"/>
      <color rgb="FFFF0000"/>
      <name val="Calibri"/>
      <family val="2"/>
      <scheme val="minor"/>
    </font>
    <font>
      <b/>
      <sz val="11"/>
      <name val="Calibri"/>
      <family val="2"/>
    </font>
    <font>
      <sz val="11"/>
      <name val="Calibri"/>
      <family val="2"/>
    </font>
    <font>
      <b/>
      <sz val="11"/>
      <color theme="1"/>
      <name val="Calibri"/>
      <family val="2"/>
    </font>
    <font>
      <sz val="11"/>
      <color theme="1"/>
      <name val="Calibri"/>
      <family val="2"/>
    </font>
    <font>
      <sz val="11"/>
      <color theme="1"/>
      <name val="Calibri"/>
    </font>
    <font>
      <b/>
      <sz val="11"/>
      <color theme="1"/>
      <name val="Calibri"/>
    </font>
    <font>
      <b/>
      <sz val="11"/>
      <name val="Calibri"/>
    </font>
    <font>
      <sz val="11"/>
      <name val="Calibri"/>
    </font>
    <font>
      <sz val="11"/>
      <color rgb="FFFF0000"/>
      <name val="Calibri"/>
    </font>
  </fonts>
  <fills count="8">
    <fill>
      <patternFill patternType="none"/>
    </fill>
    <fill>
      <patternFill patternType="gray125"/>
    </fill>
    <fill>
      <patternFill patternType="solid">
        <fgColor theme="9"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2"/>
        <bgColor indexed="64"/>
      </patternFill>
    </fill>
  </fills>
  <borders count="3">
    <border>
      <left/>
      <right/>
      <top/>
      <bottom/>
      <diagonal/>
    </border>
    <border>
      <left style="thin">
        <color theme="2" tint="-0.24994659260841701"/>
      </left>
      <right style="thin">
        <color theme="2" tint="-0.24994659260841701"/>
      </right>
      <top style="thin">
        <color theme="2" tint="-0.24994659260841701"/>
      </top>
      <bottom style="thin">
        <color theme="2" tint="-0.24994659260841701"/>
      </bottom>
      <diagonal/>
    </border>
    <border>
      <left/>
      <right/>
      <top/>
      <bottom style="thin">
        <color theme="2" tint="-0.24994659260841701"/>
      </bottom>
      <diagonal/>
    </border>
  </borders>
  <cellStyleXfs count="2">
    <xf numFmtId="0" fontId="0" fillId="0" borderId="0"/>
    <xf numFmtId="44" fontId="1" fillId="0" borderId="0" applyFont="0" applyFill="0" applyBorder="0" applyAlignment="0" applyProtection="0"/>
  </cellStyleXfs>
  <cellXfs count="122">
    <xf numFmtId="0" fontId="0" fillId="0" borderId="0" xfId="0"/>
    <xf numFmtId="0" fontId="2" fillId="0" borderId="0" xfId="0" applyFont="1"/>
    <xf numFmtId="0" fontId="0" fillId="0" borderId="0" xfId="0" applyAlignment="1">
      <alignment horizontal="center"/>
    </xf>
    <xf numFmtId="0" fontId="3" fillId="0" borderId="0" xfId="0" applyFont="1"/>
    <xf numFmtId="0" fontId="5" fillId="0" borderId="0" xfId="0" applyFont="1"/>
    <xf numFmtId="0" fontId="4" fillId="0" borderId="0" xfId="0" applyFont="1" applyAlignment="1">
      <alignment horizontal="left" vertical="center" wrapText="1"/>
    </xf>
    <xf numFmtId="0" fontId="4" fillId="0" borderId="0" xfId="0" applyFont="1" applyAlignment="1">
      <alignment horizontal="center" vertical="center" wrapText="1"/>
    </xf>
    <xf numFmtId="0" fontId="5" fillId="0" borderId="0" xfId="0" applyFont="1" applyAlignment="1">
      <alignment horizontal="center"/>
    </xf>
    <xf numFmtId="0" fontId="6" fillId="0" borderId="0" xfId="0" applyFont="1" applyAlignment="1">
      <alignment horizontal="center" vertical="center" wrapText="1"/>
    </xf>
    <xf numFmtId="164" fontId="6" fillId="0" borderId="0" xfId="0" applyNumberFormat="1" applyFont="1" applyAlignment="1">
      <alignment horizontal="center" vertical="center" wrapText="1"/>
    </xf>
    <xf numFmtId="166" fontId="6" fillId="0" borderId="0" xfId="1" applyNumberFormat="1" applyFont="1" applyFill="1" applyBorder="1" applyAlignment="1">
      <alignment horizontal="center" vertical="center" wrapText="1"/>
    </xf>
    <xf numFmtId="165" fontId="5" fillId="0" borderId="0" xfId="0" applyNumberFormat="1" applyFont="1"/>
    <xf numFmtId="0" fontId="6" fillId="0" borderId="0" xfId="0" applyFont="1"/>
    <xf numFmtId="0" fontId="6" fillId="0" borderId="0" xfId="0" applyFont="1" applyAlignment="1">
      <alignment horizontal="center"/>
    </xf>
    <xf numFmtId="3" fontId="5" fillId="0" borderId="0" xfId="0" applyNumberFormat="1" applyFont="1"/>
    <xf numFmtId="167" fontId="6" fillId="0" borderId="0" xfId="0" applyNumberFormat="1" applyFont="1" applyAlignment="1">
      <alignment horizontal="center" vertical="center" wrapText="1"/>
    </xf>
    <xf numFmtId="0" fontId="3" fillId="0" borderId="0" xfId="0" applyFont="1" applyAlignment="1">
      <alignment horizontal="center"/>
    </xf>
    <xf numFmtId="0" fontId="4" fillId="0" borderId="0" xfId="0" applyFont="1" applyAlignment="1">
      <alignment horizontal="centerContinuous"/>
    </xf>
    <xf numFmtId="6"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left"/>
    </xf>
    <xf numFmtId="168" fontId="6" fillId="0" borderId="0" xfId="0" applyNumberFormat="1" applyFont="1" applyAlignment="1">
      <alignment horizontal="center" vertical="center" wrapText="1"/>
    </xf>
    <xf numFmtId="6" fontId="6" fillId="2" borderId="0" xfId="0" applyNumberFormat="1" applyFont="1" applyFill="1" applyAlignment="1">
      <alignment horizontal="center"/>
    </xf>
    <xf numFmtId="0" fontId="6" fillId="2" borderId="0" xfId="0" applyFont="1" applyFill="1" applyAlignment="1">
      <alignment horizontal="center"/>
    </xf>
    <xf numFmtId="2" fontId="6" fillId="2" borderId="0" xfId="0" applyNumberFormat="1" applyFont="1" applyFill="1" applyAlignment="1">
      <alignment horizontal="center"/>
    </xf>
    <xf numFmtId="6" fontId="6" fillId="3" borderId="0" xfId="0" applyNumberFormat="1" applyFont="1" applyFill="1" applyAlignment="1">
      <alignment horizontal="center"/>
    </xf>
    <xf numFmtId="0" fontId="6" fillId="3" borderId="0" xfId="0" applyFont="1" applyFill="1" applyAlignment="1">
      <alignment horizontal="center"/>
    </xf>
    <xf numFmtId="2" fontId="6" fillId="3" borderId="0" xfId="0" applyNumberFormat="1" applyFont="1" applyFill="1" applyAlignment="1">
      <alignment horizontal="center"/>
    </xf>
    <xf numFmtId="169" fontId="6" fillId="0" borderId="0" xfId="1" applyNumberFormat="1"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wrapText="1"/>
    </xf>
    <xf numFmtId="0" fontId="2" fillId="0" borderId="0" xfId="0" applyFont="1" applyAlignment="1">
      <alignment wrapText="1"/>
    </xf>
    <xf numFmtId="0" fontId="2" fillId="0" borderId="0" xfId="0" applyFont="1" applyAlignment="1">
      <alignment horizontal="center" wrapText="1"/>
    </xf>
    <xf numFmtId="0" fontId="0" fillId="0" borderId="0" xfId="0" applyAlignment="1">
      <alignment horizontal="right"/>
    </xf>
    <xf numFmtId="0" fontId="0" fillId="0" borderId="0" xfId="0" applyAlignment="1">
      <alignment horizontal="left"/>
    </xf>
    <xf numFmtId="0" fontId="2" fillId="0" borderId="0" xfId="0" applyFont="1" applyAlignment="1">
      <alignment horizontal="left" vertical="center"/>
    </xf>
    <xf numFmtId="0" fontId="0" fillId="0" borderId="0" xfId="0" applyAlignment="1">
      <alignment horizontal="left" vertical="center"/>
    </xf>
    <xf numFmtId="0" fontId="2" fillId="0" borderId="0" xfId="0" applyFont="1" applyAlignment="1">
      <alignment horizontal="right" vertical="center"/>
    </xf>
    <xf numFmtId="8" fontId="0" fillId="0" borderId="0" xfId="0" applyNumberFormat="1" applyAlignment="1">
      <alignment horizontal="right" vertical="center" wrapText="1"/>
    </xf>
    <xf numFmtId="0" fontId="0" fillId="0" borderId="0" xfId="0" applyAlignment="1">
      <alignment horizontal="right" vertical="center"/>
    </xf>
    <xf numFmtId="0" fontId="0" fillId="0" borderId="0" xfId="0" applyAlignment="1">
      <alignment horizontal="left" vertical="center" wrapText="1"/>
    </xf>
    <xf numFmtId="172" fontId="0" fillId="0" borderId="0" xfId="0" applyNumberFormat="1" applyAlignment="1">
      <alignment horizontal="right" vertical="center"/>
    </xf>
    <xf numFmtId="0" fontId="0" fillId="0" borderId="0" xfId="0" applyAlignment="1">
      <alignment vertical="center"/>
    </xf>
    <xf numFmtId="173" fontId="0" fillId="0" borderId="0" xfId="0" applyNumberFormat="1" applyAlignment="1">
      <alignment horizontal="right" vertical="center"/>
    </xf>
    <xf numFmtId="0" fontId="7" fillId="0" borderId="0" xfId="0" applyFont="1"/>
    <xf numFmtId="0" fontId="8" fillId="0" borderId="0" xfId="0" applyFont="1" applyAlignment="1">
      <alignment horizontal="left" vertical="center" wrapText="1"/>
    </xf>
    <xf numFmtId="0" fontId="2" fillId="0" borderId="0" xfId="0" applyFont="1" applyAlignment="1">
      <alignment horizontal="right" vertical="center" wrapText="1"/>
    </xf>
    <xf numFmtId="164" fontId="0" fillId="0" borderId="0" xfId="0" applyNumberFormat="1" applyAlignment="1">
      <alignment horizontal="right"/>
    </xf>
    <xf numFmtId="167" fontId="0" fillId="0" borderId="0" xfId="0" applyNumberFormat="1" applyAlignment="1">
      <alignment horizontal="right"/>
    </xf>
    <xf numFmtId="0" fontId="8" fillId="0" borderId="0" xfId="0" applyFont="1" applyAlignment="1">
      <alignment horizontal="right" vertical="center" wrapText="1"/>
    </xf>
    <xf numFmtId="0" fontId="5" fillId="0" borderId="0" xfId="0" applyFont="1" applyAlignment="1">
      <alignment horizontal="left"/>
    </xf>
    <xf numFmtId="0" fontId="5" fillId="0" borderId="0" xfId="0" applyFont="1" applyAlignment="1">
      <alignment horizontal="right" vertical="center" wrapText="1"/>
    </xf>
    <xf numFmtId="167" fontId="5" fillId="0" borderId="0" xfId="0" applyNumberFormat="1" applyFont="1" applyAlignment="1">
      <alignment horizontal="right" vertical="center" wrapText="1"/>
    </xf>
    <xf numFmtId="0" fontId="2" fillId="0" borderId="0" xfId="0" applyFont="1" applyAlignment="1">
      <alignment vertical="center"/>
    </xf>
    <xf numFmtId="0" fontId="2" fillId="0" borderId="0" xfId="0" applyFont="1" applyAlignment="1">
      <alignment vertical="center" wrapText="1"/>
    </xf>
    <xf numFmtId="164" fontId="0" fillId="0" borderId="0" xfId="0" applyNumberFormat="1"/>
    <xf numFmtId="0" fontId="5" fillId="0" borderId="0" xfId="0" applyFont="1" applyAlignment="1">
      <alignment horizontal="center" vertical="center"/>
    </xf>
    <xf numFmtId="164" fontId="0" fillId="0" borderId="0" xfId="0" applyNumberFormat="1" applyAlignment="1">
      <alignment wrapText="1"/>
    </xf>
    <xf numFmtId="174" fontId="0" fillId="0" borderId="0" xfId="0" applyNumberFormat="1" applyAlignment="1">
      <alignment horizontal="right"/>
    </xf>
    <xf numFmtId="0" fontId="0" fillId="0" borderId="0" xfId="0" applyAlignment="1">
      <alignment vertical="center" wrapText="1"/>
    </xf>
    <xf numFmtId="14" fontId="0" fillId="0" borderId="0" xfId="0" applyNumberFormat="1" applyAlignment="1">
      <alignment horizontal="right" vertical="center" wrapText="1"/>
    </xf>
    <xf numFmtId="0" fontId="0" fillId="0" borderId="0" xfId="0" applyAlignment="1">
      <alignment horizontal="right" vertical="center" wrapText="1"/>
    </xf>
    <xf numFmtId="3" fontId="0" fillId="0" borderId="0" xfId="0" applyNumberFormat="1" applyAlignment="1">
      <alignment horizontal="right" vertical="center" wrapText="1"/>
    </xf>
    <xf numFmtId="0" fontId="10" fillId="0" borderId="0" xfId="0" applyFont="1" applyAlignment="1">
      <alignment horizontal="right" vertical="center" wrapText="1"/>
    </xf>
    <xf numFmtId="164" fontId="9" fillId="0" borderId="0" xfId="0" applyNumberFormat="1" applyFont="1" applyAlignment="1">
      <alignment horizontal="right"/>
    </xf>
    <xf numFmtId="0" fontId="9" fillId="0" borderId="0" xfId="0" applyFont="1" applyAlignment="1">
      <alignment horizontal="right"/>
    </xf>
    <xf numFmtId="164" fontId="9" fillId="4" borderId="0" xfId="0" applyNumberFormat="1" applyFont="1" applyFill="1" applyAlignment="1">
      <alignment horizontal="right"/>
    </xf>
    <xf numFmtId="0" fontId="2" fillId="0" borderId="0" xfId="0" applyFont="1" applyAlignment="1">
      <alignment horizontal="center" vertical="center" wrapText="1"/>
    </xf>
    <xf numFmtId="0" fontId="13" fillId="0" borderId="0" xfId="0" applyFont="1" applyAlignment="1">
      <alignment horizontal="right" vertical="center" wrapText="1"/>
    </xf>
    <xf numFmtId="0" fontId="12" fillId="3" borderId="1" xfId="0" applyFont="1" applyFill="1" applyBorder="1" applyAlignment="1">
      <alignment horizontal="left" vertical="center" wrapText="1"/>
    </xf>
    <xf numFmtId="0" fontId="12" fillId="0" borderId="1" xfId="0" applyFont="1" applyBorder="1" applyAlignment="1">
      <alignment vertical="center" wrapText="1"/>
    </xf>
    <xf numFmtId="0" fontId="12" fillId="2" borderId="1" xfId="0" applyFont="1" applyFill="1" applyBorder="1" applyAlignment="1">
      <alignment horizontal="left" vertical="center" wrapText="1"/>
    </xf>
    <xf numFmtId="0" fontId="11" fillId="7" borderId="1" xfId="0" applyFont="1" applyFill="1" applyBorder="1" applyAlignment="1">
      <alignment horizontal="left" wrapText="1"/>
    </xf>
    <xf numFmtId="0" fontId="11" fillId="7" borderId="1" xfId="0" applyFont="1" applyFill="1" applyBorder="1" applyAlignment="1">
      <alignment wrapText="1"/>
    </xf>
    <xf numFmtId="0" fontId="14" fillId="0" borderId="0" xfId="0" applyFont="1"/>
    <xf numFmtId="0" fontId="13" fillId="0" borderId="0" xfId="0" applyFont="1"/>
    <xf numFmtId="0" fontId="13" fillId="0" borderId="0" xfId="0" applyFont="1" applyAlignment="1">
      <alignment horizontal="right"/>
    </xf>
    <xf numFmtId="0" fontId="14" fillId="0" borderId="0" xfId="0" applyFont="1" applyAlignment="1">
      <alignment horizontal="right"/>
    </xf>
    <xf numFmtId="171" fontId="14" fillId="0" borderId="0" xfId="0" applyNumberFormat="1" applyFont="1" applyAlignment="1">
      <alignment horizontal="right"/>
    </xf>
    <xf numFmtId="0" fontId="13" fillId="0" borderId="0" xfId="0" applyFont="1" applyAlignment="1">
      <alignment vertical="center" wrapText="1"/>
    </xf>
    <xf numFmtId="14" fontId="14" fillId="0" borderId="0" xfId="0" applyNumberFormat="1" applyFont="1"/>
    <xf numFmtId="3" fontId="14" fillId="0" borderId="0" xfId="0" applyNumberFormat="1" applyFont="1"/>
    <xf numFmtId="0" fontId="2" fillId="0" borderId="0" xfId="0" applyFont="1" applyAlignment="1">
      <alignment horizontal="center" vertical="center"/>
    </xf>
    <xf numFmtId="0" fontId="5" fillId="0" borderId="0" xfId="0" applyFont="1" applyAlignment="1">
      <alignment horizontal="right"/>
    </xf>
    <xf numFmtId="164" fontId="5" fillId="0" borderId="0" xfId="0" applyNumberFormat="1" applyFont="1" applyAlignment="1">
      <alignment horizontal="right"/>
    </xf>
    <xf numFmtId="168" fontId="14" fillId="0" borderId="0" xfId="0" applyNumberFormat="1" applyFont="1"/>
    <xf numFmtId="2" fontId="14" fillId="0" borderId="0" xfId="0" applyNumberFormat="1" applyFont="1" applyAlignment="1">
      <alignment horizontal="right"/>
    </xf>
    <xf numFmtId="164" fontId="14" fillId="0" borderId="0" xfId="0" applyNumberFormat="1" applyFont="1" applyAlignment="1">
      <alignment horizontal="right"/>
    </xf>
    <xf numFmtId="168" fontId="14" fillId="4" borderId="0" xfId="0" applyNumberFormat="1" applyFont="1" applyFill="1"/>
    <xf numFmtId="0" fontId="14" fillId="4" borderId="0" xfId="0" applyFont="1" applyFill="1" applyAlignment="1">
      <alignment horizontal="right"/>
    </xf>
    <xf numFmtId="2" fontId="14" fillId="4" borderId="0" xfId="0" applyNumberFormat="1" applyFont="1" applyFill="1" applyAlignment="1">
      <alignment horizontal="right"/>
    </xf>
    <xf numFmtId="164" fontId="14" fillId="4" borderId="0" xfId="0" applyNumberFormat="1" applyFont="1" applyFill="1" applyAlignment="1">
      <alignment horizontal="right"/>
    </xf>
    <xf numFmtId="174" fontId="14" fillId="0" borderId="0" xfId="0" applyNumberFormat="1" applyFont="1"/>
    <xf numFmtId="0" fontId="11" fillId="0" borderId="0" xfId="0" applyFont="1" applyAlignment="1">
      <alignment horizontal="left" vertical="center" wrapText="1"/>
    </xf>
    <xf numFmtId="174" fontId="13" fillId="0" borderId="0" xfId="0" applyNumberFormat="1" applyFont="1" applyAlignment="1">
      <alignment horizontal="right" vertical="center" wrapText="1"/>
    </xf>
    <xf numFmtId="14" fontId="13" fillId="0" borderId="0" xfId="0" applyNumberFormat="1" applyFont="1" applyAlignment="1">
      <alignment horizontal="right" vertical="center" wrapText="1"/>
    </xf>
    <xf numFmtId="0" fontId="12" fillId="0" borderId="0" xfId="0" applyFont="1"/>
    <xf numFmtId="164" fontId="14" fillId="0" borderId="0" xfId="0" applyNumberFormat="1" applyFont="1"/>
    <xf numFmtId="0" fontId="15" fillId="0" borderId="0" xfId="0" applyFont="1"/>
    <xf numFmtId="0" fontId="16" fillId="0" borderId="0" xfId="0" applyFont="1" applyAlignment="1">
      <alignment horizontal="right" vertical="center" wrapText="1"/>
    </xf>
    <xf numFmtId="170" fontId="15" fillId="0" borderId="0" xfId="0" applyNumberFormat="1" applyFont="1"/>
    <xf numFmtId="164" fontId="15" fillId="0" borderId="0" xfId="0" applyNumberFormat="1" applyFont="1"/>
    <xf numFmtId="175" fontId="0" fillId="0" borderId="0" xfId="0" applyNumberFormat="1" applyAlignment="1">
      <alignment horizontal="right"/>
    </xf>
    <xf numFmtId="175" fontId="0" fillId="5" borderId="0" xfId="0" applyNumberFormat="1" applyFill="1" applyAlignment="1">
      <alignment horizontal="right"/>
    </xf>
    <xf numFmtId="0" fontId="17" fillId="0" borderId="0" xfId="0" applyFont="1" applyAlignment="1">
      <alignment horizontal="left" vertical="center" wrapText="1"/>
    </xf>
    <xf numFmtId="0" fontId="17" fillId="0" borderId="0" xfId="0" applyFont="1" applyAlignment="1">
      <alignment horizontal="right" vertical="center" wrapText="1"/>
    </xf>
    <xf numFmtId="0" fontId="18" fillId="0" borderId="0" xfId="0" applyFont="1" applyAlignment="1">
      <alignment horizontal="left" vertical="center" wrapText="1"/>
    </xf>
    <xf numFmtId="0" fontId="18" fillId="0" borderId="0" xfId="0" applyFont="1" applyAlignment="1">
      <alignment horizontal="right" vertical="center" wrapText="1"/>
    </xf>
    <xf numFmtId="0" fontId="18" fillId="0" borderId="0" xfId="0" applyFont="1" applyAlignment="1">
      <alignment horizontal="left"/>
    </xf>
    <xf numFmtId="0" fontId="18" fillId="0" borderId="0" xfId="0" applyFont="1" applyAlignment="1">
      <alignment horizontal="right"/>
    </xf>
    <xf numFmtId="0" fontId="15" fillId="0" borderId="0" xfId="0" applyFont="1" applyAlignment="1">
      <alignment horizontal="left"/>
    </xf>
    <xf numFmtId="0" fontId="15" fillId="0" borderId="0" xfId="0" applyFont="1" applyAlignment="1">
      <alignment horizontal="right"/>
    </xf>
    <xf numFmtId="167" fontId="15" fillId="0" borderId="0" xfId="0" applyNumberFormat="1" applyFont="1"/>
    <xf numFmtId="0" fontId="16" fillId="0" borderId="0" xfId="0" applyFont="1" applyAlignment="1">
      <alignment vertical="center" wrapText="1"/>
    </xf>
    <xf numFmtId="14" fontId="15" fillId="0" borderId="0" xfId="0" applyNumberFormat="1" applyFont="1"/>
    <xf numFmtId="164" fontId="19" fillId="0" borderId="0" xfId="0" applyNumberFormat="1" applyFont="1"/>
    <xf numFmtId="0" fontId="16" fillId="6" borderId="0" xfId="0" applyFont="1" applyFill="1" applyAlignment="1">
      <alignment horizontal="right" vertical="center" wrapText="1"/>
    </xf>
    <xf numFmtId="164" fontId="12" fillId="0" borderId="0" xfId="0" applyNumberFormat="1" applyFont="1"/>
    <xf numFmtId="14" fontId="12" fillId="0" borderId="0" xfId="0" applyNumberFormat="1" applyFont="1"/>
    <xf numFmtId="168" fontId="12" fillId="0" borderId="0" xfId="0" applyNumberFormat="1" applyFont="1"/>
    <xf numFmtId="3" fontId="12" fillId="0" borderId="0" xfId="0" applyNumberFormat="1" applyFont="1"/>
    <xf numFmtId="0" fontId="0" fillId="0" borderId="2" xfId="0" applyBorder="1" applyAlignment="1">
      <alignment horizontal="left"/>
    </xf>
  </cellXfs>
  <cellStyles count="2">
    <cellStyle name="Currency" xfId="1" builtinId="4"/>
    <cellStyle name="Normal" xfId="0" builtinId="0"/>
  </cellStyles>
  <dxfs count="2">
    <dxf>
      <fill>
        <patternFill>
          <bgColor rgb="FFFEF5F0"/>
        </patternFill>
      </fill>
    </dxf>
    <dxf>
      <fill>
        <patternFill>
          <bgColor rgb="FFFEF5F0"/>
        </patternFill>
      </fill>
    </dxf>
  </dxfs>
  <tableStyles count="0" defaultTableStyle="TableStyleMedium2" defaultPivotStyle="PivotStyleLight16"/>
  <colors>
    <mruColors>
      <color rgb="FFFF7757"/>
      <color rgb="FFFFFFFF"/>
      <color rgb="FFFEF5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17/06/relationships/rdRichValue" Target="richData/rdrichvalu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microsoft.com/office/2022/10/relationships/richValueRel" Target="richData/richValueRel.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06/relationships/rdRichValueTypes" Target="richData/rdRichValueTyp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eetMetadata" Target="metadata.xml"/><Relationship Id="rId30" Type="http://schemas.microsoft.com/office/2017/06/relationships/rdRichValueStructure" Target="richData/rdrichvaluestructure.xml"/><Relationship Id="rId35" Type="http://schemas.openxmlformats.org/officeDocument/2006/relationships/customXml" Target="../customXml/item3.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acmagovau.sharepoint.com/sites/EconomicsandMarketAnalysisSection/Shared%20Documents/ESL%20Pricing/Benchmarking/DW%20-%20workings/ESL%20Pricing%20-%20Source%20Data.xlsx" TargetMode="External"/><Relationship Id="rId1" Type="http://schemas.openxmlformats.org/officeDocument/2006/relationships/externalLinkPath" Target="/sites/EconomicsandMarketAnalysisSection/Shared%20Documents/ESL%20Pricing/Benchmarking/DW%20-%20workings/ESL%20Pricing%20-%20Source%20Da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driveId="b!f741V4_Ph06FwA8xIcPL9bix9aqjfzJBouz7ika2Dr4HQX7dDzS8SbJCkyWFMjgC" itemId="01S7KBAEPAHXNW2ADD7JDIPYT5HZ5O3STG">
      <xxl21:absoluteUrl r:id="rId2"/>
    </xxl21:alternateUrls>
    <sheetNames>
      <sheetName val="RAW_DATA_BENCHMARKS"/>
      <sheetName val="FREQUENCIES"/>
      <sheetName val="Step DB1 - Benchmarks"/>
      <sheetName val="Step DB1 Benchmark List"/>
      <sheetName val="Step DB1 Removed Benchmarks"/>
      <sheetName val="Australia - Weights"/>
      <sheetName val="MSR-MHz-pop (RAW)"/>
      <sheetName val="MSR-MHz-pop (input)"/>
      <sheetName val="MSR-MHz-pop (input) (trial)"/>
      <sheetName val="MTAS notes"/>
      <sheetName val="ABS POP (RAW)"/>
      <sheetName val="Sheet2"/>
    </sheetNames>
    <sheetDataSet>
      <sheetData sheetId="0"/>
      <sheetData sheetId="1"/>
      <sheetData sheetId="2">
        <row r="1">
          <cell r="A1" t="str">
            <v>RAW_DATA</v>
          </cell>
          <cell r="W1" t="str">
            <v>WEIGHTS</v>
          </cell>
        </row>
        <row r="2">
          <cell r="A2" t="str">
            <v>Date</v>
          </cell>
          <cell r="B2" t="str">
            <v>Country</v>
          </cell>
          <cell r="C2" t="str">
            <v>Frequency Band</v>
          </cell>
          <cell r="D2" t="str">
            <v>Band Group (I)</v>
          </cell>
          <cell r="F2" t="str">
            <v>Identifer</v>
          </cell>
          <cell r="K2" t="str">
            <v>Licence Term (years)</v>
          </cell>
          <cell r="L2" t="str">
            <v>Licence Term (days)</v>
          </cell>
          <cell r="N2" t="str">
            <v>Price/MHz/pop (Local Currency)</v>
          </cell>
          <cell r="Q2" t="str">
            <v>World Bank Spot Exchange Rate (AUD)</v>
          </cell>
          <cell r="R2" t="str">
            <v>World Bank PPP Exchange Rate (AUD)</v>
          </cell>
          <cell r="W2" t="str">
            <v>Real GDP Per capita (US$)</v>
          </cell>
          <cell r="X2" t="str">
            <v># of MNOs</v>
          </cell>
          <cell r="Y2" t="str">
            <v>Population Density</v>
          </cell>
        </row>
        <row r="3">
          <cell r="A3">
            <v>41395</v>
          </cell>
          <cell r="B3" t="str">
            <v>Australia</v>
          </cell>
          <cell r="C3" t="str">
            <v>700 MHz</v>
          </cell>
          <cell r="D3" t="str">
            <v>Sub-1 GHz</v>
          </cell>
          <cell r="F3" t="str">
            <v>Australia - 2013 - 700 MHz</v>
          </cell>
          <cell r="K3">
            <v>15</v>
          </cell>
          <cell r="L3">
            <v>5479</v>
          </cell>
          <cell r="N3">
            <v>1.365464793693129</v>
          </cell>
          <cell r="Q3">
            <v>1</v>
          </cell>
          <cell r="R3">
            <v>1</v>
          </cell>
          <cell r="W3">
            <v>55728.017403571932</v>
          </cell>
          <cell r="X3">
            <v>3</v>
          </cell>
          <cell r="Y3">
            <v>3.0105735261575308</v>
          </cell>
        </row>
        <row r="4">
          <cell r="A4">
            <v>41395</v>
          </cell>
          <cell r="B4" t="str">
            <v>Australia</v>
          </cell>
          <cell r="C4" t="str">
            <v>2.5 GHz</v>
          </cell>
          <cell r="D4" t="str">
            <v>1-3 GHz</v>
          </cell>
          <cell r="F4" t="str">
            <v>Australia - 2013 - 2.5 GHz</v>
          </cell>
          <cell r="K4">
            <v>15</v>
          </cell>
          <cell r="L4">
            <v>5479</v>
          </cell>
          <cell r="N4">
            <v>2.8664705582628871E-2</v>
          </cell>
          <cell r="Q4">
            <v>1</v>
          </cell>
          <cell r="R4">
            <v>1</v>
          </cell>
          <cell r="W4">
            <v>55728.017403571932</v>
          </cell>
          <cell r="X4">
            <v>3</v>
          </cell>
          <cell r="Y4">
            <v>3.0105735261575308</v>
          </cell>
        </row>
        <row r="5">
          <cell r="A5">
            <v>42401</v>
          </cell>
          <cell r="B5" t="str">
            <v>Australia</v>
          </cell>
          <cell r="C5" t="str">
            <v>1800 MHz</v>
          </cell>
          <cell r="D5" t="str">
            <v>1-3 GHz</v>
          </cell>
          <cell r="F5" t="str">
            <v>Australia - 2016 - 1800 MHz</v>
          </cell>
          <cell r="K5">
            <v>12</v>
          </cell>
          <cell r="L5">
            <v>4037</v>
          </cell>
          <cell r="N5">
            <v>0.525561513402099</v>
          </cell>
          <cell r="Q5">
            <v>1</v>
          </cell>
          <cell r="R5">
            <v>1</v>
          </cell>
          <cell r="W5">
            <v>57401.066226893934</v>
          </cell>
          <cell r="X5">
            <v>3</v>
          </cell>
          <cell r="Y5">
            <v>3.1449355305888442</v>
          </cell>
        </row>
        <row r="6">
          <cell r="A6">
            <v>42826</v>
          </cell>
          <cell r="B6" t="str">
            <v>Australia</v>
          </cell>
          <cell r="C6" t="str">
            <v>700 MHz</v>
          </cell>
          <cell r="D6" t="str">
            <v>Sub-1 GHz</v>
          </cell>
          <cell r="F6" t="str">
            <v>Australia - 2017 - 700 MHz</v>
          </cell>
          <cell r="K6">
            <v>11.67</v>
          </cell>
          <cell r="L6">
            <v>4293</v>
          </cell>
          <cell r="N6">
            <v>2.2510070064394725</v>
          </cell>
          <cell r="Q6">
            <v>1</v>
          </cell>
          <cell r="R6">
            <v>1</v>
          </cell>
          <cell r="W6">
            <v>57750.64822216882</v>
          </cell>
          <cell r="X6">
            <v>3</v>
          </cell>
          <cell r="Y6">
            <v>3.1971560136349098</v>
          </cell>
        </row>
        <row r="7">
          <cell r="A7">
            <v>43435</v>
          </cell>
          <cell r="B7" t="str">
            <v>Australia</v>
          </cell>
          <cell r="C7" t="str">
            <v>3.6 GHz</v>
          </cell>
          <cell r="D7" t="str">
            <v>3.4-3.8 GHz</v>
          </cell>
          <cell r="F7" t="str">
            <v>Australia - 2018 - 3.6 GHz</v>
          </cell>
          <cell r="K7">
            <v>10.704330512692882</v>
          </cell>
          <cell r="L7">
            <v>3652</v>
          </cell>
          <cell r="N7">
            <v>0.28590499647250406</v>
          </cell>
          <cell r="Q7">
            <v>1</v>
          </cell>
          <cell r="R7">
            <v>1</v>
          </cell>
          <cell r="W7">
            <v>58530.782169711711</v>
          </cell>
          <cell r="X7">
            <v>3</v>
          </cell>
          <cell r="Y7">
            <v>3.2453449158998549</v>
          </cell>
        </row>
        <row r="8">
          <cell r="A8">
            <v>44531</v>
          </cell>
          <cell r="B8" t="str">
            <v>Australia</v>
          </cell>
          <cell r="C8" t="str">
            <v xml:space="preserve">850 MHz &amp; 900 MHz </v>
          </cell>
          <cell r="D8" t="str">
            <v>Sub-1 GHz</v>
          </cell>
          <cell r="F8" t="str">
            <v xml:space="preserve">Australia - 2021 - 850 MHz &amp; 900 MHz </v>
          </cell>
          <cell r="K8">
            <v>20</v>
          </cell>
          <cell r="L8">
            <v>7305</v>
          </cell>
          <cell r="N8">
            <v>1.2060149738651436</v>
          </cell>
          <cell r="Q8">
            <v>1</v>
          </cell>
          <cell r="R8">
            <v>1</v>
          </cell>
          <cell r="W8">
            <v>59276.503107196957</v>
          </cell>
          <cell r="X8">
            <v>3</v>
          </cell>
          <cell r="Y8">
            <v>3.3392284471439231</v>
          </cell>
        </row>
        <row r="9">
          <cell r="A9">
            <v>45231</v>
          </cell>
          <cell r="B9" t="str">
            <v>Australia</v>
          </cell>
          <cell r="C9" t="str">
            <v>3.4 GHz</v>
          </cell>
          <cell r="D9" t="str">
            <v>3.4-3.8 GHz</v>
          </cell>
          <cell r="F9" t="str">
            <v>Australia - 2023 - 3.4 GHz</v>
          </cell>
          <cell r="K9">
            <v>7</v>
          </cell>
          <cell r="L9">
            <v>2557</v>
          </cell>
          <cell r="N9">
            <v>6.7299999999999999E-2</v>
          </cell>
          <cell r="Q9">
            <v>1</v>
          </cell>
          <cell r="R9">
            <v>1</v>
          </cell>
          <cell r="W9">
            <v>61583.918893530448</v>
          </cell>
          <cell r="X9">
            <v>3</v>
          </cell>
          <cell r="Y9">
            <v>3.4657928606529884</v>
          </cell>
        </row>
        <row r="10">
          <cell r="A10">
            <v>45231</v>
          </cell>
          <cell r="B10" t="str">
            <v>Australia</v>
          </cell>
          <cell r="C10" t="str">
            <v>3.7 GHz</v>
          </cell>
          <cell r="D10" t="str">
            <v>3.4-3.8 GHz</v>
          </cell>
          <cell r="F10" t="str">
            <v>Australia - 2023 - 3.7 GHz</v>
          </cell>
          <cell r="K10">
            <v>20</v>
          </cell>
          <cell r="L10">
            <v>7305</v>
          </cell>
          <cell r="N10">
            <v>0.28870000000000001</v>
          </cell>
          <cell r="Q10">
            <v>1</v>
          </cell>
          <cell r="R10">
            <v>1</v>
          </cell>
          <cell r="W10">
            <v>61583.918893530448</v>
          </cell>
          <cell r="X10">
            <v>3</v>
          </cell>
          <cell r="Y10">
            <v>3.4657928606529884</v>
          </cell>
        </row>
        <row r="11">
          <cell r="A11">
            <v>40422</v>
          </cell>
          <cell r="B11" t="str">
            <v>Austria</v>
          </cell>
          <cell r="C11" t="str">
            <v>2.6 GHz</v>
          </cell>
          <cell r="D11" t="str">
            <v>1-3 GHz</v>
          </cell>
          <cell r="F11" t="str">
            <v>Austria - 2010 - 2.6 GHz</v>
          </cell>
          <cell r="K11">
            <v>16.2</v>
          </cell>
          <cell r="L11">
            <v>5919</v>
          </cell>
          <cell r="N11">
            <v>2.4876549259003553E-2</v>
          </cell>
          <cell r="Q11">
            <v>0.69163271384355862</v>
          </cell>
          <cell r="R11">
            <v>0.56020425332679802</v>
          </cell>
          <cell r="W11">
            <v>43035.407467794954</v>
          </cell>
          <cell r="X11">
            <v>3</v>
          </cell>
          <cell r="Y11">
            <v>101.35002423654872</v>
          </cell>
        </row>
        <row r="12">
          <cell r="A12">
            <v>43525</v>
          </cell>
          <cell r="B12" t="str">
            <v>Austria</v>
          </cell>
          <cell r="C12" t="str">
            <v>3.5 GHz</v>
          </cell>
          <cell r="D12" t="str">
            <v>3.4-3.8 GHz</v>
          </cell>
          <cell r="F12" t="str">
            <v>Austria - 2019 - 3.5 GHz</v>
          </cell>
          <cell r="K12">
            <v>20</v>
          </cell>
          <cell r="L12">
            <v>7305</v>
          </cell>
          <cell r="N12">
            <v>5.4195907516838338E-2</v>
          </cell>
          <cell r="Q12">
            <v>0.62086803831357129</v>
          </cell>
          <cell r="R12">
            <v>0.50596572355856051</v>
          </cell>
          <cell r="W12">
            <v>46550.562343078469</v>
          </cell>
          <cell r="X12">
            <v>3</v>
          </cell>
          <cell r="Y12">
            <v>107.60930683470674</v>
          </cell>
        </row>
        <row r="13">
          <cell r="A13">
            <v>40848</v>
          </cell>
          <cell r="B13" t="str">
            <v>Belgium</v>
          </cell>
          <cell r="C13" t="str">
            <v>2.6 GHz</v>
          </cell>
          <cell r="D13" t="str">
            <v>1-3 GHz</v>
          </cell>
          <cell r="F13" t="str">
            <v>Belgium - 2011 - 2.6 GHz</v>
          </cell>
          <cell r="K13">
            <v>15</v>
          </cell>
          <cell r="L13">
            <v>5478</v>
          </cell>
          <cell r="N13">
            <v>4.5583371653602475E-2</v>
          </cell>
          <cell r="Q13">
            <v>0.74076846445962585</v>
          </cell>
          <cell r="R13">
            <v>0.55055087449009033</v>
          </cell>
          <cell r="W13">
            <v>40236.959615129657</v>
          </cell>
          <cell r="X13">
            <v>4</v>
          </cell>
          <cell r="Y13">
            <v>363.9028121188145</v>
          </cell>
        </row>
        <row r="14">
          <cell r="A14">
            <v>44713</v>
          </cell>
          <cell r="B14" t="str">
            <v>Belgium</v>
          </cell>
          <cell r="C14" t="str">
            <v>1800 MHz</v>
          </cell>
          <cell r="D14" t="str">
            <v>1-3 GHz</v>
          </cell>
          <cell r="F14" t="str">
            <v>Belgium - 2022 - 1800 MHz</v>
          </cell>
          <cell r="K14">
            <v>20</v>
          </cell>
          <cell r="L14">
            <v>7305</v>
          </cell>
          <cell r="N14">
            <v>0.13431735659482738</v>
          </cell>
          <cell r="Q14">
            <v>0.65884435785124662</v>
          </cell>
          <cell r="R14">
            <v>0.50625712859344885</v>
          </cell>
          <cell r="W14">
            <v>44583.576771176799</v>
          </cell>
          <cell r="X14">
            <v>4</v>
          </cell>
          <cell r="Y14">
            <v>383.03305568308519</v>
          </cell>
        </row>
        <row r="15">
          <cell r="A15">
            <v>44713</v>
          </cell>
          <cell r="B15" t="str">
            <v>Belgium</v>
          </cell>
          <cell r="C15" t="str">
            <v>2.1 GHz</v>
          </cell>
          <cell r="D15" t="str">
            <v>1-3 GHz</v>
          </cell>
          <cell r="F15" t="str">
            <v>Belgium - 2022 - 2.1 GHz</v>
          </cell>
          <cell r="K15">
            <v>20</v>
          </cell>
          <cell r="L15">
            <v>7305</v>
          </cell>
          <cell r="N15">
            <v>0.19383763086719782</v>
          </cell>
          <cell r="Q15">
            <v>0.65884435785124662</v>
          </cell>
          <cell r="R15">
            <v>0.50625712859344885</v>
          </cell>
          <cell r="W15">
            <v>44583.576771176799</v>
          </cell>
          <cell r="X15">
            <v>4</v>
          </cell>
          <cell r="Y15">
            <v>383.03305568308519</v>
          </cell>
        </row>
        <row r="16">
          <cell r="A16">
            <v>44713</v>
          </cell>
          <cell r="B16" t="str">
            <v>Belgium</v>
          </cell>
          <cell r="C16" t="str">
            <v>3.5 GHz</v>
          </cell>
          <cell r="D16" t="str">
            <v>3.4-3.8 GHz</v>
          </cell>
          <cell r="F16" t="str">
            <v>Belgium - 2022 - 3.5 GHz</v>
          </cell>
          <cell r="K16">
            <v>20</v>
          </cell>
          <cell r="L16">
            <v>6458</v>
          </cell>
          <cell r="N16">
            <v>4.8746139995386364E-2</v>
          </cell>
          <cell r="Q16">
            <v>0.65884435785124662</v>
          </cell>
          <cell r="R16">
            <v>0.50625712859344885</v>
          </cell>
          <cell r="W16">
            <v>44583.576771176799</v>
          </cell>
          <cell r="X16">
            <v>4</v>
          </cell>
          <cell r="Y16">
            <v>383.03305568308519</v>
          </cell>
        </row>
        <row r="17">
          <cell r="A17">
            <v>44713</v>
          </cell>
          <cell r="B17" t="str">
            <v>Belgium</v>
          </cell>
          <cell r="C17" t="str">
            <v>700 MHz &amp; 900 MHz</v>
          </cell>
          <cell r="D17" t="str">
            <v>Sub-1 GHz</v>
          </cell>
          <cell r="F17" t="str">
            <v>Belgium - 2022 - 700 MHz &amp; 900 MHz</v>
          </cell>
          <cell r="K17">
            <v>20</v>
          </cell>
          <cell r="L17">
            <v>7305</v>
          </cell>
          <cell r="N17">
            <v>0.32269447540224289</v>
          </cell>
          <cell r="Q17">
            <v>0.65884435785124662</v>
          </cell>
          <cell r="R17">
            <v>0.50625712859344885</v>
          </cell>
          <cell r="W17">
            <v>44583.576771176799</v>
          </cell>
          <cell r="X17">
            <v>4</v>
          </cell>
          <cell r="Y17">
            <v>383.03305568308519</v>
          </cell>
        </row>
        <row r="18">
          <cell r="A18">
            <v>44228</v>
          </cell>
          <cell r="B18" t="str">
            <v>Bulgaria</v>
          </cell>
          <cell r="C18" t="str">
            <v>2.6 GHz</v>
          </cell>
          <cell r="D18" t="str">
            <v>1-3 GHz</v>
          </cell>
          <cell r="F18" t="str">
            <v>Bulgaria - 2021 - 2.6 GHz</v>
          </cell>
          <cell r="K18">
            <v>20</v>
          </cell>
          <cell r="L18">
            <v>7306</v>
          </cell>
          <cell r="N18">
            <v>1.5993618836877155E-2</v>
          </cell>
          <cell r="Q18">
            <v>1.2422963209318174</v>
          </cell>
          <cell r="R18">
            <v>0.48507764342433912</v>
          </cell>
          <cell r="W18">
            <v>8682.8822382646649</v>
          </cell>
          <cell r="X18">
            <v>3</v>
          </cell>
          <cell r="Y18">
            <v>63.354301768607222</v>
          </cell>
        </row>
        <row r="19">
          <cell r="A19">
            <v>42005</v>
          </cell>
          <cell r="B19" t="str">
            <v>Canada</v>
          </cell>
          <cell r="C19" t="str">
            <v>2.6 GHz</v>
          </cell>
          <cell r="D19" t="str">
            <v>1-3 GHz</v>
          </cell>
          <cell r="F19" t="str">
            <v>Canada - 2015 - 2.6 GHz</v>
          </cell>
          <cell r="K19">
            <v>20</v>
          </cell>
          <cell r="L19">
            <v>7306</v>
          </cell>
          <cell r="N19">
            <v>0.11876207213126119</v>
          </cell>
          <cell r="Q19">
            <v>0.96070585120725616</v>
          </cell>
          <cell r="R19">
            <v>0.84688174115197823</v>
          </cell>
          <cell r="W19">
            <v>43594.194104539434</v>
          </cell>
          <cell r="X19">
            <v>3</v>
          </cell>
          <cell r="Y19">
            <v>3.9823924582765886</v>
          </cell>
        </row>
        <row r="20">
          <cell r="A20">
            <v>42156</v>
          </cell>
          <cell r="B20" t="str">
            <v>Canada</v>
          </cell>
          <cell r="C20" t="str">
            <v>2 GHz</v>
          </cell>
          <cell r="D20" t="str">
            <v>1-3 GHz</v>
          </cell>
          <cell r="F20" t="str">
            <v>Canada - 2015 - 2 GHz</v>
          </cell>
          <cell r="K20">
            <v>20</v>
          </cell>
          <cell r="L20">
            <v>7306</v>
          </cell>
          <cell r="N20">
            <v>1.1814989529704416</v>
          </cell>
          <cell r="Q20">
            <v>0.96070585120725616</v>
          </cell>
          <cell r="R20">
            <v>0.84688174115197823</v>
          </cell>
          <cell r="W20">
            <v>43594.194104539434</v>
          </cell>
          <cell r="X20">
            <v>3</v>
          </cell>
          <cell r="Y20">
            <v>3.9823924582765886</v>
          </cell>
        </row>
        <row r="21">
          <cell r="A21">
            <v>43556</v>
          </cell>
          <cell r="B21" t="str">
            <v>Canada</v>
          </cell>
          <cell r="C21" t="str">
            <v>600 MHz</v>
          </cell>
          <cell r="D21" t="str">
            <v>Sub-1 GHz</v>
          </cell>
          <cell r="F21" t="str">
            <v>Canada - 2019 - 600 MHz</v>
          </cell>
          <cell r="K21">
            <v>20</v>
          </cell>
          <cell r="L21">
            <v>7306</v>
          </cell>
          <cell r="N21">
            <v>1.41038707991329</v>
          </cell>
          <cell r="Q21">
            <v>0.92234085969017676</v>
          </cell>
          <cell r="R21">
            <v>0.83457769146268679</v>
          </cell>
          <cell r="W21">
            <v>45100.291490326184</v>
          </cell>
          <cell r="X21">
            <v>3</v>
          </cell>
          <cell r="Y21">
            <v>4.1958750065528312</v>
          </cell>
        </row>
        <row r="22">
          <cell r="A22">
            <v>44378</v>
          </cell>
          <cell r="B22" t="str">
            <v>Canada</v>
          </cell>
          <cell r="C22" t="str">
            <v>3.5 GHz</v>
          </cell>
          <cell r="D22" t="str">
            <v>3.4-3.8 GHz</v>
          </cell>
          <cell r="F22" t="str">
            <v>Canada - 2021 - 3.5 GHz</v>
          </cell>
          <cell r="K22">
            <v>20</v>
          </cell>
          <cell r="L22">
            <v>7305</v>
          </cell>
          <cell r="N22">
            <v>1.2895686732857543</v>
          </cell>
          <cell r="Q22">
            <v>0.94189757519221673</v>
          </cell>
          <cell r="R22">
            <v>0.83295910235387882</v>
          </cell>
          <cell r="W22">
            <v>44359.616726671338</v>
          </cell>
          <cell r="X22">
            <v>3</v>
          </cell>
          <cell r="Y22">
            <v>4.3510262041029959</v>
          </cell>
        </row>
        <row r="23">
          <cell r="A23">
            <v>44927</v>
          </cell>
          <cell r="B23" t="str">
            <v>Canada</v>
          </cell>
          <cell r="C23" t="str">
            <v>3.6 GHz</v>
          </cell>
          <cell r="D23" t="str">
            <v>3.4-3.8 GHz</v>
          </cell>
          <cell r="F23" t="str">
            <v>Canada - 2023 - 3.6 GHz</v>
          </cell>
          <cell r="K23">
            <v>17</v>
          </cell>
          <cell r="L23">
            <v>6210</v>
          </cell>
          <cell r="N23">
            <v>0.74082382475020914</v>
          </cell>
          <cell r="Q23">
            <v>0.89683540624208657</v>
          </cell>
          <cell r="R23">
            <v>0.84099234577982773</v>
          </cell>
          <cell r="W23">
            <v>44468.74750235393</v>
          </cell>
          <cell r="X23">
            <v>3</v>
          </cell>
          <cell r="Y23">
            <v>4.5624223150181482</v>
          </cell>
        </row>
        <row r="24">
          <cell r="A24">
            <v>44927</v>
          </cell>
          <cell r="B24" t="str">
            <v>Canada</v>
          </cell>
          <cell r="C24" t="str">
            <v>2.6 GHz</v>
          </cell>
          <cell r="D24" t="str">
            <v>1-3 GHz</v>
          </cell>
          <cell r="F24" t="str">
            <v>Canada - 2023 - 2.6 GHz</v>
          </cell>
          <cell r="K24">
            <v>12</v>
          </cell>
          <cell r="L24">
            <v>4471</v>
          </cell>
          <cell r="N24">
            <v>9.416635248606095E-2</v>
          </cell>
          <cell r="Q24">
            <v>0.89683540624208657</v>
          </cell>
          <cell r="R24">
            <v>0.84099234577982773</v>
          </cell>
          <cell r="W24">
            <v>44468.74750235393</v>
          </cell>
          <cell r="X24">
            <v>3</v>
          </cell>
          <cell r="Y24">
            <v>4.5624223150181482</v>
          </cell>
        </row>
        <row r="25">
          <cell r="A25">
            <v>45231</v>
          </cell>
          <cell r="B25" t="str">
            <v>Canada</v>
          </cell>
          <cell r="C25" t="str">
            <v>3.8 GHz</v>
          </cell>
          <cell r="D25" t="str">
            <v>3.4-3.8 GHz</v>
          </cell>
          <cell r="F25" t="str">
            <v>Canada - 2023 - 3.8 GHz</v>
          </cell>
          <cell r="K25">
            <v>20</v>
          </cell>
          <cell r="L25">
            <v>7305</v>
          </cell>
          <cell r="N25">
            <v>0.24553656682270714</v>
          </cell>
          <cell r="Q25">
            <v>0.89683540624208657</v>
          </cell>
          <cell r="R25">
            <v>0.84099234577982773</v>
          </cell>
          <cell r="W25">
            <v>44468.74750235393</v>
          </cell>
          <cell r="X25">
            <v>3</v>
          </cell>
          <cell r="Y25">
            <v>4.5624223150181482</v>
          </cell>
        </row>
        <row r="26">
          <cell r="A26">
            <v>44409</v>
          </cell>
          <cell r="B26" t="str">
            <v>Croatia</v>
          </cell>
          <cell r="C26" t="str">
            <v>3.6 GHz</v>
          </cell>
          <cell r="D26" t="str">
            <v>3.4-3.8 GHz</v>
          </cell>
          <cell r="F26" t="str">
            <v>Croatia - 2021 - 3.6 GHz</v>
          </cell>
          <cell r="K26">
            <v>15</v>
          </cell>
          <cell r="L26">
            <v>5479</v>
          </cell>
          <cell r="N26">
            <v>1.7281274077570907E-2</v>
          </cell>
          <cell r="Q26">
            <v>0.63443791164764607</v>
          </cell>
          <cell r="R26">
            <v>0.28763023284214045</v>
          </cell>
          <cell r="W26">
            <v>15394.470732808459</v>
          </cell>
          <cell r="X26">
            <v>3</v>
          </cell>
          <cell r="Y26">
            <v>69.317030021443884</v>
          </cell>
        </row>
        <row r="27">
          <cell r="A27">
            <v>44409</v>
          </cell>
          <cell r="B27" t="str">
            <v>Croatia</v>
          </cell>
          <cell r="C27" t="str">
            <v>700 MHz</v>
          </cell>
          <cell r="D27" t="str">
            <v>Sub-1 GHz</v>
          </cell>
          <cell r="F27" t="str">
            <v>Croatia - 2021 - 700 MHz</v>
          </cell>
          <cell r="K27">
            <v>15</v>
          </cell>
          <cell r="L27">
            <v>5479</v>
          </cell>
          <cell r="N27">
            <v>0.56335244119391181</v>
          </cell>
          <cell r="Q27">
            <v>0.63443791164764607</v>
          </cell>
          <cell r="R27">
            <v>0.28763023284214045</v>
          </cell>
          <cell r="W27">
            <v>15394.470732808459</v>
          </cell>
          <cell r="X27">
            <v>3</v>
          </cell>
          <cell r="Y27">
            <v>69.317030021443884</v>
          </cell>
        </row>
        <row r="28">
          <cell r="A28">
            <v>44986</v>
          </cell>
          <cell r="B28" t="str">
            <v>Croatia</v>
          </cell>
          <cell r="C28" t="str">
            <v>1800 MHz</v>
          </cell>
          <cell r="D28" t="str">
            <v>1-3 GHz</v>
          </cell>
          <cell r="F28" t="str">
            <v>Croatia - 2023 - 1800 MHz</v>
          </cell>
          <cell r="K28">
            <v>15</v>
          </cell>
          <cell r="L28">
            <v>5478</v>
          </cell>
          <cell r="N28">
            <v>0.14066854749080959</v>
          </cell>
          <cell r="Q28">
            <v>0.61457469261244835</v>
          </cell>
          <cell r="R28">
            <v>0.31074801348330278</v>
          </cell>
          <cell r="W28">
            <v>17147.166022662281</v>
          </cell>
          <cell r="X28">
            <v>3</v>
          </cell>
          <cell r="Y28">
            <v>68.972230164403143</v>
          </cell>
        </row>
        <row r="29">
          <cell r="A29">
            <v>44986</v>
          </cell>
          <cell r="B29" t="str">
            <v>Croatia</v>
          </cell>
          <cell r="C29" t="str">
            <v>2.1 GHz</v>
          </cell>
          <cell r="D29" t="str">
            <v>1-3 GHz</v>
          </cell>
          <cell r="F29" t="str">
            <v>Croatia - 2023 - 2.1 GHz</v>
          </cell>
          <cell r="K29">
            <v>15</v>
          </cell>
          <cell r="L29">
            <v>5478</v>
          </cell>
          <cell r="N29">
            <v>0.25733093955715142</v>
          </cell>
          <cell r="Q29">
            <v>0.61457469261244835</v>
          </cell>
          <cell r="R29">
            <v>0.31074801348330278</v>
          </cell>
          <cell r="W29">
            <v>17147.166022662281</v>
          </cell>
          <cell r="X29">
            <v>3</v>
          </cell>
          <cell r="Y29">
            <v>68.972230164403143</v>
          </cell>
        </row>
        <row r="30">
          <cell r="A30">
            <v>44986</v>
          </cell>
          <cell r="B30" t="str">
            <v>Croatia</v>
          </cell>
          <cell r="C30" t="str">
            <v>2.6 GHz</v>
          </cell>
          <cell r="D30" t="str">
            <v>2.6 GHz</v>
          </cell>
          <cell r="F30" t="str">
            <v>Croatia - 2023 - 2.6 GHz</v>
          </cell>
          <cell r="K30">
            <v>15</v>
          </cell>
          <cell r="L30">
            <v>5478</v>
          </cell>
          <cell r="N30">
            <v>1.8136518521232551E-2</v>
          </cell>
          <cell r="Q30">
            <v>0.61457469261244835</v>
          </cell>
          <cell r="R30">
            <v>0.31074801348330278</v>
          </cell>
          <cell r="W30">
            <v>17147.166022662281</v>
          </cell>
          <cell r="X30">
            <v>3</v>
          </cell>
          <cell r="Y30">
            <v>68.972230164403143</v>
          </cell>
        </row>
        <row r="31">
          <cell r="A31">
            <v>44986</v>
          </cell>
          <cell r="B31" t="str">
            <v>Croatia</v>
          </cell>
          <cell r="C31" t="str">
            <v>800 MHz &amp; 900 MHz</v>
          </cell>
          <cell r="D31" t="str">
            <v>Sub-1 GHz</v>
          </cell>
          <cell r="F31" t="str">
            <v>Croatia - 2023 - 800 MHz &amp; 900 MHz</v>
          </cell>
          <cell r="K31">
            <v>15</v>
          </cell>
          <cell r="L31">
            <v>7306</v>
          </cell>
          <cell r="N31">
            <v>0.24942771322035237</v>
          </cell>
          <cell r="Q31">
            <v>0.61457469261244835</v>
          </cell>
          <cell r="R31">
            <v>0.31074801348330278</v>
          </cell>
          <cell r="W31">
            <v>17147.166022662281</v>
          </cell>
          <cell r="X31">
            <v>3</v>
          </cell>
          <cell r="Y31">
            <v>68.972230164403143</v>
          </cell>
        </row>
        <row r="32">
          <cell r="A32">
            <v>44166</v>
          </cell>
          <cell r="B32" t="str">
            <v>Cyprus</v>
          </cell>
          <cell r="C32" t="str">
            <v>700 MHz</v>
          </cell>
          <cell r="D32" t="str">
            <v>Sub-1 GHz</v>
          </cell>
          <cell r="F32" t="str">
            <v>Cyprus - 2020 - 700 MHz</v>
          </cell>
          <cell r="K32">
            <v>20</v>
          </cell>
          <cell r="L32">
            <v>7305</v>
          </cell>
          <cell r="N32" t="str">
            <v>-</v>
          </cell>
          <cell r="Q32">
            <v>0.60349315949292748</v>
          </cell>
          <cell r="R32">
            <v>0.40426652428043347</v>
          </cell>
          <cell r="W32">
            <v>27391.58984375</v>
          </cell>
          <cell r="X32">
            <v>4</v>
          </cell>
          <cell r="Y32">
            <v>140.9358225108225</v>
          </cell>
        </row>
        <row r="33">
          <cell r="A33">
            <v>41579</v>
          </cell>
          <cell r="B33" t="str">
            <v>Czechia</v>
          </cell>
          <cell r="C33" t="str">
            <v>1800 MHz</v>
          </cell>
          <cell r="D33" t="str">
            <v>1-3 GHz</v>
          </cell>
          <cell r="F33" t="str">
            <v>Czechia - 2013 - 1800 MHz</v>
          </cell>
          <cell r="K33">
            <v>15.3</v>
          </cell>
          <cell r="L33">
            <v>5603</v>
          </cell>
          <cell r="N33">
            <v>1.5217411153144982</v>
          </cell>
          <cell r="Q33">
            <v>18.893385879649223</v>
          </cell>
          <cell r="R33">
            <v>8.8349580512506538</v>
          </cell>
          <cell r="W33">
            <v>16759.78086543773</v>
          </cell>
          <cell r="X33">
            <v>3</v>
          </cell>
          <cell r="Y33">
            <v>136.15995855995857</v>
          </cell>
        </row>
        <row r="34">
          <cell r="A34">
            <v>41579</v>
          </cell>
          <cell r="B34" t="str">
            <v>Czechia</v>
          </cell>
          <cell r="C34" t="str">
            <v>2.6 GHz</v>
          </cell>
          <cell r="D34" t="str">
            <v>1-3 GHz</v>
          </cell>
          <cell r="F34" t="str">
            <v>Czechia - 2013 - 2.6 GHz</v>
          </cell>
          <cell r="K34">
            <v>15.3</v>
          </cell>
          <cell r="L34">
            <v>5603</v>
          </cell>
          <cell r="N34">
            <v>0.76087055765724909</v>
          </cell>
          <cell r="Q34">
            <v>18.893385879649223</v>
          </cell>
          <cell r="R34">
            <v>8.8349580512506538</v>
          </cell>
          <cell r="W34">
            <v>16759.78086543773</v>
          </cell>
          <cell r="X34">
            <v>3</v>
          </cell>
          <cell r="Y34">
            <v>136.15995855995857</v>
          </cell>
        </row>
        <row r="35">
          <cell r="A35">
            <v>42522</v>
          </cell>
          <cell r="B35" t="str">
            <v>Czechia</v>
          </cell>
          <cell r="C35" t="str">
            <v>1800 MHz</v>
          </cell>
          <cell r="D35" t="str">
            <v>1-3 GHz</v>
          </cell>
          <cell r="F35" t="str">
            <v>Czechia - 2016 - 1800 MHz</v>
          </cell>
          <cell r="K35">
            <v>12.8</v>
          </cell>
          <cell r="L35">
            <v>4665</v>
          </cell>
          <cell r="N35">
            <v>4.2228706389839878</v>
          </cell>
          <cell r="Q35">
            <v>18.168051404717914</v>
          </cell>
          <cell r="R35">
            <v>8.6724069686295824</v>
          </cell>
          <cell r="W35">
            <v>18359.097811740547</v>
          </cell>
          <cell r="X35">
            <v>3</v>
          </cell>
          <cell r="Y35">
            <v>136.85185856754308</v>
          </cell>
        </row>
        <row r="36">
          <cell r="A36">
            <v>42522</v>
          </cell>
          <cell r="B36" t="str">
            <v>Czechia</v>
          </cell>
          <cell r="C36" t="str">
            <v>2.6 GHz</v>
          </cell>
          <cell r="D36" t="str">
            <v>1-3 GHz</v>
          </cell>
          <cell r="F36" t="str">
            <v>Czechia - 2016 - 2.6 GHz</v>
          </cell>
          <cell r="K36">
            <v>12.8</v>
          </cell>
          <cell r="L36">
            <v>4665</v>
          </cell>
          <cell r="N36">
            <v>1.6629638905372812</v>
          </cell>
          <cell r="Q36">
            <v>18.168051404717914</v>
          </cell>
          <cell r="R36">
            <v>8.6724069686295824</v>
          </cell>
          <cell r="W36">
            <v>18359.097811740547</v>
          </cell>
          <cell r="X36">
            <v>3</v>
          </cell>
          <cell r="Y36">
            <v>136.85185856754308</v>
          </cell>
        </row>
        <row r="37">
          <cell r="A37">
            <v>44136</v>
          </cell>
          <cell r="B37" t="str">
            <v>Czechia</v>
          </cell>
          <cell r="C37" t="str">
            <v>700 MHz</v>
          </cell>
          <cell r="D37" t="str">
            <v>Sub-1 GHz</v>
          </cell>
          <cell r="F37" t="str">
            <v>Czechia - 2020 - 700 MHz</v>
          </cell>
          <cell r="K37">
            <v>15.4</v>
          </cell>
          <cell r="L37">
            <v>5721</v>
          </cell>
          <cell r="N37">
            <v>6.2325967622362741</v>
          </cell>
          <cell r="Q37">
            <v>15.973083548220671</v>
          </cell>
          <cell r="R37">
            <v>8.48978557997936</v>
          </cell>
          <cell r="W37">
            <v>19233.146956549666</v>
          </cell>
          <cell r="X37">
            <v>3</v>
          </cell>
          <cell r="Y37">
            <v>138.57592884216837</v>
          </cell>
        </row>
        <row r="38">
          <cell r="A38">
            <v>42614</v>
          </cell>
          <cell r="B38" t="str">
            <v>Denmark</v>
          </cell>
          <cell r="C38" t="str">
            <v>1.8 GHz</v>
          </cell>
          <cell r="D38" t="str">
            <v>1-3 GHz</v>
          </cell>
          <cell r="F38" t="str">
            <v>Denmark - 2016 - 1.8 GHz</v>
          </cell>
          <cell r="K38">
            <v>15</v>
          </cell>
          <cell r="L38">
            <v>5479</v>
          </cell>
          <cell r="N38">
            <v>1.3772513034127976</v>
          </cell>
          <cell r="Q38">
            <v>5.0041988689158163</v>
          </cell>
          <cell r="R38">
            <v>4.8821340600597454</v>
          </cell>
          <cell r="W38">
            <v>54300.203953089287</v>
          </cell>
          <cell r="X38">
            <v>3</v>
          </cell>
          <cell r="Y38">
            <v>143.20025000000001</v>
          </cell>
        </row>
        <row r="39">
          <cell r="A39">
            <v>42767</v>
          </cell>
          <cell r="B39" t="str">
            <v>Estonia</v>
          </cell>
          <cell r="C39" t="str">
            <v>2.6 GHz</v>
          </cell>
          <cell r="D39" t="str">
            <v>1-3 GHz</v>
          </cell>
          <cell r="F39" t="str">
            <v>Estonia - 2017 - 2.6 GHz</v>
          </cell>
          <cell r="K39">
            <v>25</v>
          </cell>
          <cell r="L39">
            <v>9131</v>
          </cell>
          <cell r="N39">
            <v>8.3650628821968387E-2</v>
          </cell>
          <cell r="Q39">
            <v>0.67826181364678706</v>
          </cell>
          <cell r="R39">
            <v>0.3620228851350849</v>
          </cell>
          <cell r="W39">
            <v>19270.813824856916</v>
          </cell>
          <cell r="X39">
            <v>3</v>
          </cell>
          <cell r="Y39">
            <v>30.815999999999999</v>
          </cell>
        </row>
        <row r="40">
          <cell r="A40">
            <v>44866</v>
          </cell>
          <cell r="B40" t="str">
            <v>Estonia</v>
          </cell>
          <cell r="C40" t="str">
            <v>700 MHz</v>
          </cell>
          <cell r="D40" t="str">
            <v>Sub-1 GHz</v>
          </cell>
          <cell r="F40" t="str">
            <v>Estonia - 2022 - 700 MHz</v>
          </cell>
          <cell r="K40">
            <v>25</v>
          </cell>
          <cell r="L40">
            <v>9131</v>
          </cell>
          <cell r="N40">
            <v>0.15169902912621358</v>
          </cell>
          <cell r="Q40">
            <v>0.65884435785124662</v>
          </cell>
          <cell r="R40">
            <v>0.40585665195701526</v>
          </cell>
          <cell r="W40">
            <v>21080.651971668405</v>
          </cell>
          <cell r="X40">
            <v>3</v>
          </cell>
          <cell r="Y40">
            <v>31.566580856541073</v>
          </cell>
        </row>
        <row r="41">
          <cell r="A41">
            <v>40148</v>
          </cell>
          <cell r="B41" t="str">
            <v>Finland</v>
          </cell>
          <cell r="C41" t="str">
            <v>2.6 GHz</v>
          </cell>
          <cell r="D41" t="str">
            <v>1-3 GHz</v>
          </cell>
          <cell r="F41" t="str">
            <v>Finland - 2009 - 2.6 GHz</v>
          </cell>
          <cell r="K41">
            <v>20</v>
          </cell>
          <cell r="L41">
            <v>7305</v>
          </cell>
          <cell r="N41">
            <v>3.7461103667797931E-3</v>
          </cell>
          <cell r="Q41">
            <v>0.55916702468248425</v>
          </cell>
          <cell r="R41">
            <v>0.62148144348334844</v>
          </cell>
          <cell r="W41">
            <v>42412.513485192467</v>
          </cell>
          <cell r="X41">
            <v>3</v>
          </cell>
          <cell r="Y41">
            <v>17.567854557420205</v>
          </cell>
        </row>
        <row r="42">
          <cell r="A42">
            <v>43374</v>
          </cell>
          <cell r="B42" t="str">
            <v>Finland</v>
          </cell>
          <cell r="C42" t="str">
            <v>3.5 GHz</v>
          </cell>
          <cell r="D42" t="str">
            <v>3.4-3.8 GHz</v>
          </cell>
          <cell r="F42" t="str">
            <v>Finland - 2018 - 3.5 GHz</v>
          </cell>
          <cell r="K42">
            <v>15</v>
          </cell>
          <cell r="L42">
            <v>5479</v>
          </cell>
          <cell r="N42">
            <v>3.607764981342293E-2</v>
          </cell>
          <cell r="Q42">
            <v>0.63235870607497435</v>
          </cell>
          <cell r="R42">
            <v>0.58062041494746686</v>
          </cell>
          <cell r="W42">
            <v>45337.241105858557</v>
          </cell>
          <cell r="X42">
            <v>3</v>
          </cell>
          <cell r="Y42">
            <v>18.147950118452226</v>
          </cell>
        </row>
        <row r="43">
          <cell r="A43">
            <v>40299</v>
          </cell>
          <cell r="B43" t="str">
            <v>France</v>
          </cell>
          <cell r="C43" t="str">
            <v>2.1 GHz</v>
          </cell>
          <cell r="D43" t="str">
            <v>1-3 GHz</v>
          </cell>
          <cell r="F43" t="str">
            <v>France - 2010 - 2.1 GHz</v>
          </cell>
          <cell r="K43">
            <v>20</v>
          </cell>
          <cell r="L43">
            <v>7305</v>
          </cell>
          <cell r="N43">
            <v>0.50974781552196169</v>
          </cell>
          <cell r="Q43">
            <v>0.69163271384355862</v>
          </cell>
          <cell r="R43">
            <v>0.5684802640023463</v>
          </cell>
          <cell r="W43">
            <v>35578.196795881391</v>
          </cell>
          <cell r="X43">
            <v>4</v>
          </cell>
          <cell r="Y43">
            <v>118.75697142032702</v>
          </cell>
        </row>
        <row r="44">
          <cell r="A44">
            <v>40634</v>
          </cell>
          <cell r="B44" t="str">
            <v>France</v>
          </cell>
          <cell r="C44" t="str">
            <v>2.6 GHz</v>
          </cell>
          <cell r="D44" t="str">
            <v>1-3 GHz</v>
          </cell>
          <cell r="F44" t="str">
            <v>France - 2011 - 2.6 GHz</v>
          </cell>
          <cell r="K44">
            <v>20</v>
          </cell>
          <cell r="L44">
            <v>7305</v>
          </cell>
          <cell r="N44">
            <v>0.10232782856555121</v>
          </cell>
          <cell r="Q44">
            <v>0.74076846445962585</v>
          </cell>
          <cell r="R44">
            <v>0.55680479559935725</v>
          </cell>
          <cell r="W44">
            <v>36269.956158998386</v>
          </cell>
          <cell r="X44">
            <v>4</v>
          </cell>
          <cell r="Y44">
            <v>119.33155817567851</v>
          </cell>
        </row>
        <row r="45">
          <cell r="A45">
            <v>44105</v>
          </cell>
          <cell r="B45" t="str">
            <v>France</v>
          </cell>
          <cell r="C45" t="str">
            <v>3.6 GHz</v>
          </cell>
          <cell r="D45" t="str">
            <v>3.4-3.8 GHz</v>
          </cell>
          <cell r="F45" t="str">
            <v>France - 2020 - 3.6 GHz</v>
          </cell>
          <cell r="K45">
            <v>15</v>
          </cell>
          <cell r="L45">
            <v>5478</v>
          </cell>
          <cell r="N45">
            <v>0.13335637044688381</v>
          </cell>
          <cell r="Q45">
            <v>0.60349315949292748</v>
          </cell>
          <cell r="R45">
            <v>0.48425790772958777</v>
          </cell>
          <cell r="W45">
            <v>35709.204585867963</v>
          </cell>
          <cell r="X45">
            <v>4</v>
          </cell>
          <cell r="Y45">
            <v>123.4594937148096</v>
          </cell>
        </row>
        <row r="46">
          <cell r="A46">
            <v>40299</v>
          </cell>
          <cell r="B46" t="str">
            <v>Germany</v>
          </cell>
          <cell r="C46" t="str">
            <v>2.6 GHz</v>
          </cell>
          <cell r="D46" t="str">
            <v>1-3 GHz</v>
          </cell>
          <cell r="F46" t="str">
            <v>Germany - 2010 - 2.6 GHz</v>
          </cell>
          <cell r="K46">
            <v>15</v>
          </cell>
          <cell r="L46">
            <v>5724</v>
          </cell>
          <cell r="N46">
            <v>2.2158610721810378E-2</v>
          </cell>
          <cell r="Q46">
            <v>0.69163271384355862</v>
          </cell>
          <cell r="R46">
            <v>0.53549327191722929</v>
          </cell>
          <cell r="W46">
            <v>38517.439786010873</v>
          </cell>
          <cell r="X46">
            <v>3</v>
          </cell>
          <cell r="Y46">
            <v>234.60690822503372</v>
          </cell>
        </row>
        <row r="47">
          <cell r="A47">
            <v>42156</v>
          </cell>
          <cell r="B47" t="str">
            <v>Germany</v>
          </cell>
          <cell r="C47" t="str">
            <v>1.5 GHz</v>
          </cell>
          <cell r="D47" t="str">
            <v>1-3 GHz</v>
          </cell>
          <cell r="F47" t="str">
            <v>Germany - 2015 - 1.5 GHz</v>
          </cell>
          <cell r="K47">
            <v>17</v>
          </cell>
          <cell r="L47">
            <v>6789</v>
          </cell>
          <cell r="N47">
            <v>0.10085955212415408</v>
          </cell>
          <cell r="Q47">
            <v>0.67735484213176533</v>
          </cell>
          <cell r="R47">
            <v>0.5280089245303119</v>
          </cell>
          <cell r="W47">
            <v>41911.010985105371</v>
          </cell>
          <cell r="X47">
            <v>3</v>
          </cell>
          <cell r="Y47">
            <v>234.1529868715244</v>
          </cell>
        </row>
        <row r="48">
          <cell r="A48">
            <v>42156</v>
          </cell>
          <cell r="B48" t="str">
            <v>Germany</v>
          </cell>
          <cell r="C48" t="str">
            <v>1.8 GHz</v>
          </cell>
          <cell r="D48" t="str">
            <v>1-3 GHz</v>
          </cell>
          <cell r="F48" t="str">
            <v>Germany - 2015 - 1.8 GHz</v>
          </cell>
          <cell r="K48">
            <v>17</v>
          </cell>
          <cell r="L48">
            <v>6209</v>
          </cell>
          <cell r="N48">
            <v>0.29446061852168154</v>
          </cell>
          <cell r="Q48">
            <v>0.67735484213176533</v>
          </cell>
          <cell r="R48">
            <v>0.5280089245303119</v>
          </cell>
          <cell r="W48">
            <v>41911.010985105371</v>
          </cell>
          <cell r="X48">
            <v>3</v>
          </cell>
          <cell r="Y48">
            <v>234.1529868715244</v>
          </cell>
        </row>
        <row r="49">
          <cell r="A49">
            <v>43617</v>
          </cell>
          <cell r="B49" t="str">
            <v>Germany</v>
          </cell>
          <cell r="C49" t="str">
            <v>3.6 GHz</v>
          </cell>
          <cell r="D49" t="str">
            <v>3.4-3.8 GHz</v>
          </cell>
          <cell r="F49" t="str">
            <v>Germany - 2019 - 3.6 GHz</v>
          </cell>
          <cell r="K49">
            <v>20</v>
          </cell>
          <cell r="L49">
            <v>7791</v>
          </cell>
          <cell r="N49">
            <v>0.16750452042438976</v>
          </cell>
          <cell r="Q49">
            <v>0.62086803831357129</v>
          </cell>
          <cell r="R49">
            <v>0.49185782040537179</v>
          </cell>
          <cell r="W49">
            <v>44207.632051951376</v>
          </cell>
          <cell r="X49">
            <v>3</v>
          </cell>
          <cell r="Y49">
            <v>237.82295429176565</v>
          </cell>
        </row>
        <row r="50">
          <cell r="A50">
            <v>43617</v>
          </cell>
          <cell r="B50" t="str">
            <v>Germany</v>
          </cell>
          <cell r="C50" t="str">
            <v>2.1 GHz</v>
          </cell>
          <cell r="D50" t="str">
            <v>1-3 GHz</v>
          </cell>
          <cell r="F50" t="str">
            <v>Germany - 2019 - 2.1 GHz</v>
          </cell>
          <cell r="K50">
            <v>20</v>
          </cell>
          <cell r="L50">
            <v>7305</v>
          </cell>
          <cell r="N50">
            <v>0.23809927259455813</v>
          </cell>
          <cell r="Q50">
            <v>0.62086803831357129</v>
          </cell>
          <cell r="R50">
            <v>0.49185782040537179</v>
          </cell>
          <cell r="W50">
            <v>44207.632051951376</v>
          </cell>
          <cell r="X50">
            <v>3</v>
          </cell>
          <cell r="Y50">
            <v>237.82295429176565</v>
          </cell>
        </row>
        <row r="51">
          <cell r="A51">
            <v>41913</v>
          </cell>
          <cell r="B51" t="str">
            <v>Greece</v>
          </cell>
          <cell r="C51" t="str">
            <v>2.6 GHz</v>
          </cell>
          <cell r="D51" t="str">
            <v>1-3 GHz</v>
          </cell>
          <cell r="F51" t="str">
            <v>Greece - 2014 - 2.6 GHz</v>
          </cell>
          <cell r="K51">
            <v>15.3</v>
          </cell>
          <cell r="L51">
            <v>5599</v>
          </cell>
          <cell r="N51">
            <v>3.6722808802787776E-2</v>
          </cell>
          <cell r="Q51">
            <v>0.67831247655414417</v>
          </cell>
          <cell r="R51">
            <v>0.42075017435588152</v>
          </cell>
          <cell r="W51">
            <v>17903.525255997811</v>
          </cell>
          <cell r="X51">
            <v>3</v>
          </cell>
          <cell r="Y51">
            <v>84.502816136539948</v>
          </cell>
        </row>
        <row r="52">
          <cell r="A52">
            <v>44166</v>
          </cell>
          <cell r="B52" t="str">
            <v>Greece</v>
          </cell>
          <cell r="C52" t="str">
            <v>3.6 GHz</v>
          </cell>
          <cell r="D52" t="str">
            <v>3.4-3.8 GHz</v>
          </cell>
          <cell r="F52" t="str">
            <v>Greece - 2020 - 3.6 GHz</v>
          </cell>
          <cell r="K52">
            <v>20</v>
          </cell>
          <cell r="L52">
            <v>5478</v>
          </cell>
          <cell r="N52">
            <v>2.3613695971085941E-2</v>
          </cell>
          <cell r="Q52">
            <v>0.60349315949292748</v>
          </cell>
          <cell r="R52">
            <v>0.3705035694746161</v>
          </cell>
          <cell r="W52">
            <v>17486.951380041486</v>
          </cell>
          <cell r="X52">
            <v>3</v>
          </cell>
          <cell r="Y52">
            <v>82.999216446858028</v>
          </cell>
        </row>
        <row r="53">
          <cell r="A53">
            <v>44166</v>
          </cell>
          <cell r="B53" t="str">
            <v>Greece</v>
          </cell>
          <cell r="C53" t="str">
            <v>700 MHz</v>
          </cell>
          <cell r="D53" t="str">
            <v>Sub-1 GHz</v>
          </cell>
          <cell r="F53" t="str">
            <v>Greece - 2020 - 700 MHz</v>
          </cell>
          <cell r="K53">
            <v>15</v>
          </cell>
          <cell r="L53">
            <v>5478</v>
          </cell>
          <cell r="N53">
            <v>0.23594234143279738</v>
          </cell>
          <cell r="Q53">
            <v>0.60349315949292748</v>
          </cell>
          <cell r="R53">
            <v>0.3705035694746161</v>
          </cell>
          <cell r="W53">
            <v>17486.951380041486</v>
          </cell>
          <cell r="X53">
            <v>3</v>
          </cell>
          <cell r="Y53">
            <v>82.999216446858028</v>
          </cell>
        </row>
        <row r="54">
          <cell r="A54">
            <v>44166</v>
          </cell>
          <cell r="B54" t="str">
            <v>Greece</v>
          </cell>
          <cell r="C54" t="str">
            <v>2 GHz</v>
          </cell>
          <cell r="D54" t="str">
            <v>1-3 GHz</v>
          </cell>
          <cell r="F54" t="str">
            <v>Greece - 2020 - 2 GHz</v>
          </cell>
          <cell r="K54">
            <v>20</v>
          </cell>
          <cell r="L54">
            <v>7305</v>
          </cell>
          <cell r="N54">
            <v>8.2417333334953477E-2</v>
          </cell>
          <cell r="Q54">
            <v>0.60349315949292748</v>
          </cell>
          <cell r="R54">
            <v>0.3705035694746161</v>
          </cell>
          <cell r="W54">
            <v>17486.951380041486</v>
          </cell>
          <cell r="X54">
            <v>3</v>
          </cell>
          <cell r="Y54">
            <v>82.999216446858028</v>
          </cell>
        </row>
        <row r="55">
          <cell r="A55">
            <v>43435</v>
          </cell>
          <cell r="B55" t="str">
            <v>Hong Kong</v>
          </cell>
          <cell r="C55" t="str">
            <v>900 MHz</v>
          </cell>
          <cell r="D55" t="str">
            <v>Sub-1 GHz</v>
          </cell>
          <cell r="F55" t="str">
            <v>Hong Kong - 2018 - 900 MHz</v>
          </cell>
          <cell r="K55">
            <v>15</v>
          </cell>
          <cell r="L55">
            <v>5479</v>
          </cell>
          <cell r="N55">
            <v>1.5116683151113368</v>
          </cell>
          <cell r="Q55">
            <v>5.8565666941276895</v>
          </cell>
          <cell r="R55">
            <v>4.2486927810043165</v>
          </cell>
          <cell r="W55">
            <v>45280.495542284058</v>
          </cell>
          <cell r="X55">
            <v>4</v>
          </cell>
          <cell r="Y55">
            <v>7097.7142857142853</v>
          </cell>
        </row>
        <row r="56">
          <cell r="A56">
            <v>44470</v>
          </cell>
          <cell r="B56" t="str">
            <v>Hong Kong</v>
          </cell>
          <cell r="C56" t="str">
            <v>700 MHz</v>
          </cell>
          <cell r="D56" t="str">
            <v>Sub-1 GHz</v>
          </cell>
          <cell r="F56" t="str">
            <v>Hong Kong - 2021 - 700 MHz</v>
          </cell>
          <cell r="K56">
            <v>15</v>
          </cell>
          <cell r="L56">
            <v>5479</v>
          </cell>
          <cell r="N56">
            <v>7.1936652798282106</v>
          </cell>
          <cell r="Q56">
            <v>5.8391739364080664</v>
          </cell>
          <cell r="R56">
            <v>4.1449221516713264</v>
          </cell>
          <cell r="W56">
            <v>44530.941186818207</v>
          </cell>
          <cell r="X56">
            <v>4</v>
          </cell>
          <cell r="Y56">
            <v>7060.0952380952385</v>
          </cell>
        </row>
        <row r="57">
          <cell r="A57">
            <v>41883</v>
          </cell>
          <cell r="B57" t="str">
            <v>Hungary</v>
          </cell>
          <cell r="C57" t="str">
            <v>1800 MHz</v>
          </cell>
          <cell r="D57" t="str">
            <v>1-3 GHz</v>
          </cell>
          <cell r="F57" t="str">
            <v>Hungary - 2014 - 1800 MHz</v>
          </cell>
          <cell r="K57">
            <v>14.7</v>
          </cell>
          <cell r="L57">
            <v>5374</v>
          </cell>
          <cell r="N57">
            <v>119.68146385650196</v>
          </cell>
          <cell r="Q57">
            <v>209.67132063297288</v>
          </cell>
          <cell r="R57">
            <v>89.098763570670769</v>
          </cell>
          <cell r="W57">
            <v>12233.299367171994</v>
          </cell>
          <cell r="X57">
            <v>4</v>
          </cell>
          <cell r="Y57">
            <v>108.11382862152092</v>
          </cell>
        </row>
        <row r="58">
          <cell r="A58">
            <v>43891</v>
          </cell>
          <cell r="B58" t="str">
            <v>Hungary</v>
          </cell>
          <cell r="C58" t="str">
            <v>700 MHz</v>
          </cell>
          <cell r="D58" t="str">
            <v>Sub-1 GHz</v>
          </cell>
          <cell r="F58" t="str">
            <v>Hungary - 2020 - 700 MHz</v>
          </cell>
          <cell r="K58">
            <v>15</v>
          </cell>
          <cell r="L58">
            <v>5478</v>
          </cell>
          <cell r="N58" t="str">
            <v>-</v>
          </cell>
          <cell r="Q58">
            <v>211.96051267177842</v>
          </cell>
          <cell r="R58">
            <v>99.107114283977438</v>
          </cell>
          <cell r="W58">
            <v>14437.808848085235</v>
          </cell>
          <cell r="X58">
            <v>4</v>
          </cell>
          <cell r="Y58">
            <v>106.83923953539338</v>
          </cell>
        </row>
        <row r="59">
          <cell r="A59">
            <v>43891</v>
          </cell>
          <cell r="B59" t="str">
            <v>Hungary</v>
          </cell>
          <cell r="C59" t="str">
            <v>2.1 GHz</v>
          </cell>
          <cell r="D59" t="str">
            <v>1-3 GHz</v>
          </cell>
          <cell r="F59" t="str">
            <v>Hungary - 2020 - 2.1 GHz</v>
          </cell>
          <cell r="K59">
            <v>14.8</v>
          </cell>
          <cell r="L59">
            <v>5399</v>
          </cell>
          <cell r="N59">
            <v>43.896765064821061</v>
          </cell>
          <cell r="Q59">
            <v>211.96051267177842</v>
          </cell>
          <cell r="R59">
            <v>99.107114283977438</v>
          </cell>
          <cell r="W59">
            <v>14437.808848085235</v>
          </cell>
          <cell r="X59">
            <v>4</v>
          </cell>
          <cell r="Y59">
            <v>106.83923953539338</v>
          </cell>
        </row>
        <row r="60">
          <cell r="A60">
            <v>44197</v>
          </cell>
          <cell r="B60" t="str">
            <v>Hungary</v>
          </cell>
          <cell r="C60" t="str">
            <v>900 MHz</v>
          </cell>
          <cell r="D60" t="str">
            <v>Sub-1 GHz</v>
          </cell>
          <cell r="F60" t="str">
            <v>Hungary - 2021 - 900 MHz</v>
          </cell>
          <cell r="K60">
            <v>15</v>
          </cell>
          <cell r="L60">
            <v>5478</v>
          </cell>
          <cell r="N60">
            <v>126.15691273726345</v>
          </cell>
          <cell r="Q60">
            <v>227.71582710719707</v>
          </cell>
          <cell r="R60">
            <v>103.83988372839936</v>
          </cell>
          <cell r="W60">
            <v>15521.381585225135</v>
          </cell>
          <cell r="X60">
            <v>4</v>
          </cell>
          <cell r="Y60">
            <v>106.39810431733508</v>
          </cell>
        </row>
        <row r="61">
          <cell r="A61">
            <v>44197</v>
          </cell>
          <cell r="B61" t="str">
            <v>Hungary</v>
          </cell>
          <cell r="C61" t="str">
            <v>1800 MHz</v>
          </cell>
          <cell r="D61" t="str">
            <v>1-3 GHz</v>
          </cell>
          <cell r="F61" t="str">
            <v>Hungary - 2021 - 1800 MHz</v>
          </cell>
          <cell r="K61">
            <v>15</v>
          </cell>
          <cell r="L61">
            <v>5480</v>
          </cell>
          <cell r="N61">
            <v>65.603208110163138</v>
          </cell>
          <cell r="Q61">
            <v>227.71582710719707</v>
          </cell>
          <cell r="R61">
            <v>103.83988372839936</v>
          </cell>
          <cell r="W61">
            <v>15521.381585225135</v>
          </cell>
          <cell r="X61">
            <v>4</v>
          </cell>
          <cell r="Y61">
            <v>106.39810431733508</v>
          </cell>
        </row>
        <row r="62">
          <cell r="A62">
            <v>42887</v>
          </cell>
          <cell r="B62" t="str">
            <v>Iceland</v>
          </cell>
          <cell r="C62" t="str">
            <v>700 MHz &amp; 800 MHz</v>
          </cell>
          <cell r="D62" t="str">
            <v>Sub-1 GHz</v>
          </cell>
          <cell r="F62" t="str">
            <v>Iceland - 2017 - 700 MHz &amp; 800 MHz</v>
          </cell>
          <cell r="K62">
            <v>15</v>
          </cell>
          <cell r="L62">
            <v>5479</v>
          </cell>
          <cell r="N62">
            <v>5.0960978450786252</v>
          </cell>
          <cell r="Q62">
            <v>81.884583755875667</v>
          </cell>
          <cell r="R62">
            <v>93.58525548660522</v>
          </cell>
          <cell r="W62">
            <v>56501.457678879284</v>
          </cell>
          <cell r="X62">
            <v>3</v>
          </cell>
          <cell r="Y62">
            <v>3.4254364089775562</v>
          </cell>
        </row>
        <row r="63">
          <cell r="A63">
            <v>40787</v>
          </cell>
          <cell r="B63" t="str">
            <v>Italy</v>
          </cell>
          <cell r="C63" t="str">
            <v>1.8 GHz</v>
          </cell>
          <cell r="D63" t="str">
            <v>1-3 GHz</v>
          </cell>
          <cell r="F63" t="str">
            <v>Italy - 2011 - 1.8 GHz</v>
          </cell>
          <cell r="K63">
            <v>15</v>
          </cell>
          <cell r="L63">
            <v>5479</v>
          </cell>
          <cell r="N63">
            <v>0.26776940958141932</v>
          </cell>
          <cell r="Q63">
            <v>0.74076846445962585</v>
          </cell>
          <cell r="R63">
            <v>0.50209192006628489</v>
          </cell>
          <cell r="W63">
            <v>32388.81800991359</v>
          </cell>
          <cell r="X63">
            <v>4</v>
          </cell>
          <cell r="Y63">
            <v>200.79754698733254</v>
          </cell>
        </row>
        <row r="64">
          <cell r="A64">
            <v>40787</v>
          </cell>
          <cell r="B64" t="str">
            <v>Italy</v>
          </cell>
          <cell r="C64" t="str">
            <v xml:space="preserve">2.6 GHz (FDD) </v>
          </cell>
          <cell r="D64" t="str">
            <v>1-3 GHz</v>
          </cell>
          <cell r="F64" t="str">
            <v xml:space="preserve">Italy - 2011 - 2.6 GHz (FDD) </v>
          </cell>
          <cell r="K64">
            <v>15</v>
          </cell>
          <cell r="L64">
            <v>5479</v>
          </cell>
          <cell r="N64">
            <v>6.0621422517185476E-2</v>
          </cell>
          <cell r="Q64">
            <v>0.74076846445962585</v>
          </cell>
          <cell r="R64">
            <v>0.50209192006628489</v>
          </cell>
          <cell r="W64">
            <v>32388.81800991359</v>
          </cell>
          <cell r="X64">
            <v>4</v>
          </cell>
          <cell r="Y64">
            <v>200.79754698733254</v>
          </cell>
        </row>
        <row r="65">
          <cell r="A65">
            <v>40787</v>
          </cell>
          <cell r="B65" t="str">
            <v>Italy</v>
          </cell>
          <cell r="C65" t="str">
            <v xml:space="preserve">2.6 GHz (TDD) </v>
          </cell>
          <cell r="D65" t="str">
            <v>1-3 GHz</v>
          </cell>
          <cell r="F65" t="str">
            <v xml:space="preserve">Italy - 2011 - 2.6 GHz (TDD) </v>
          </cell>
          <cell r="K65">
            <v>15</v>
          </cell>
          <cell r="L65">
            <v>5479</v>
          </cell>
          <cell r="N65">
            <v>4.1560450765830891E-2</v>
          </cell>
          <cell r="Q65">
            <v>0.74076846445962585</v>
          </cell>
          <cell r="R65">
            <v>0.50209192006628489</v>
          </cell>
          <cell r="W65">
            <v>32388.81800991359</v>
          </cell>
          <cell r="X65">
            <v>4</v>
          </cell>
          <cell r="Y65">
            <v>200.79754698733254</v>
          </cell>
        </row>
        <row r="66">
          <cell r="A66">
            <v>42248</v>
          </cell>
          <cell r="B66" t="str">
            <v>Italy</v>
          </cell>
          <cell r="C66" t="str">
            <v>1.5 GHz</v>
          </cell>
          <cell r="D66" t="str">
            <v>1-3 GHz</v>
          </cell>
          <cell r="F66" t="str">
            <v>Italy - 2015 - 1.5 GHz</v>
          </cell>
          <cell r="K66">
            <v>20</v>
          </cell>
          <cell r="L66">
            <v>7305</v>
          </cell>
          <cell r="N66">
            <v>0.19030774314002127</v>
          </cell>
          <cell r="Q66">
            <v>0.67735484213176533</v>
          </cell>
          <cell r="R66">
            <v>0.50125433350682058</v>
          </cell>
          <cell r="W66">
            <v>30387.129318785395</v>
          </cell>
          <cell r="X66">
            <v>4</v>
          </cell>
          <cell r="Y66">
            <v>205.36653839130523</v>
          </cell>
        </row>
        <row r="67">
          <cell r="A67">
            <v>43374</v>
          </cell>
          <cell r="B67" t="str">
            <v>Italy</v>
          </cell>
          <cell r="C67" t="str">
            <v>3.7 GHz</v>
          </cell>
          <cell r="D67" t="str">
            <v>3.4-3.8 GHz</v>
          </cell>
          <cell r="F67" t="str">
            <v>Italy - 2018 - 3.7 GHz</v>
          </cell>
          <cell r="K67">
            <v>19</v>
          </cell>
          <cell r="L67">
            <v>6940</v>
          </cell>
          <cell r="N67">
            <v>0.35970650308762936</v>
          </cell>
          <cell r="Q67">
            <v>0.63235870607497435</v>
          </cell>
          <cell r="R67">
            <v>0.46328727566524286</v>
          </cell>
          <cell r="W67">
            <v>31675.575801495146</v>
          </cell>
          <cell r="X67">
            <v>4</v>
          </cell>
          <cell r="Y67">
            <v>204.32222590440892</v>
          </cell>
        </row>
        <row r="68">
          <cell r="A68">
            <v>43374</v>
          </cell>
          <cell r="B68" t="str">
            <v>Italy</v>
          </cell>
          <cell r="C68" t="str">
            <v>700 MHz</v>
          </cell>
          <cell r="D68" t="str">
            <v>Sub-1 GHz</v>
          </cell>
          <cell r="F68" t="str">
            <v>Italy - 2018 - 700 MHz</v>
          </cell>
          <cell r="K68">
            <v>15.5</v>
          </cell>
          <cell r="L68">
            <v>5479</v>
          </cell>
          <cell r="N68">
            <v>0.63706218681473292</v>
          </cell>
          <cell r="Q68">
            <v>0.63235870607497435</v>
          </cell>
          <cell r="R68">
            <v>0.46328727566524286</v>
          </cell>
          <cell r="W68">
            <v>31675.575801495146</v>
          </cell>
          <cell r="X68">
            <v>4</v>
          </cell>
          <cell r="Y68">
            <v>204.32222590440892</v>
          </cell>
        </row>
        <row r="69">
          <cell r="A69">
            <v>41000</v>
          </cell>
          <cell r="B69" t="str">
            <v>Lithuania</v>
          </cell>
          <cell r="C69" t="str">
            <v>2.6 GHz</v>
          </cell>
          <cell r="D69" t="str">
            <v>1-3 Ghz</v>
          </cell>
          <cell r="F69" t="str">
            <v>Lithuania - 2012 - 2.6 GHz</v>
          </cell>
          <cell r="K69">
            <v>15</v>
          </cell>
          <cell r="L69">
            <v>5480</v>
          </cell>
          <cell r="N69">
            <v>4.1837181070984979E-3</v>
          </cell>
          <cell r="Q69">
            <v>0.80600382784180313</v>
          </cell>
          <cell r="R69">
            <v>0.29391051966898579</v>
          </cell>
          <cell r="W69">
            <v>12522.34086143354</v>
          </cell>
          <cell r="X69">
            <v>3</v>
          </cell>
          <cell r="Y69">
            <v>47.67165012604908</v>
          </cell>
        </row>
        <row r="70">
          <cell r="A70">
            <v>44774</v>
          </cell>
          <cell r="B70" t="str">
            <v>Lithuania</v>
          </cell>
          <cell r="C70" t="str">
            <v>3.5 GHz</v>
          </cell>
          <cell r="D70" t="str">
            <v>3.4-3.8 GHz</v>
          </cell>
          <cell r="F70" t="str">
            <v>Lithuania - 2022 - 3.5 GHz</v>
          </cell>
          <cell r="K70">
            <v>20</v>
          </cell>
          <cell r="L70">
            <v>7306</v>
          </cell>
          <cell r="N70">
            <v>1.5471554535385052E-2</v>
          </cell>
          <cell r="Q70">
            <v>0.65884435785124662</v>
          </cell>
          <cell r="R70">
            <v>0.34034537921384139</v>
          </cell>
          <cell r="W70">
            <v>18884.514857505139</v>
          </cell>
          <cell r="X70">
            <v>3</v>
          </cell>
          <cell r="Y70">
            <v>45.230959683087342</v>
          </cell>
        </row>
        <row r="71">
          <cell r="A71">
            <v>44774</v>
          </cell>
          <cell r="B71" t="str">
            <v>Lithuania</v>
          </cell>
          <cell r="C71" t="str">
            <v>700 MHz</v>
          </cell>
          <cell r="D71" t="str">
            <v>Sub-1 GHz</v>
          </cell>
          <cell r="F71" t="str">
            <v>Lithuania - 2022 - 700 MHz</v>
          </cell>
          <cell r="K71">
            <v>20</v>
          </cell>
          <cell r="L71">
            <v>7306</v>
          </cell>
          <cell r="N71">
            <v>0.26741114884480172</v>
          </cell>
          <cell r="Q71">
            <v>0.65884435785124662</v>
          </cell>
          <cell r="R71">
            <v>0.34034537921384139</v>
          </cell>
          <cell r="W71">
            <v>18884.514857505139</v>
          </cell>
          <cell r="X71">
            <v>3</v>
          </cell>
          <cell r="Y71">
            <v>45.230959683087342</v>
          </cell>
        </row>
        <row r="72">
          <cell r="A72">
            <v>44044</v>
          </cell>
          <cell r="B72" t="str">
            <v>Luxembourg</v>
          </cell>
          <cell r="C72" t="str">
            <v>3.6 GHz</v>
          </cell>
          <cell r="D72" t="str">
            <v>3.4-3.8 GHz</v>
          </cell>
          <cell r="F72" t="str">
            <v>Luxembourg - 2020 - 3.6 GHz</v>
          </cell>
          <cell r="K72">
            <v>15</v>
          </cell>
          <cell r="L72">
            <v>5479</v>
          </cell>
          <cell r="N72">
            <v>0.11953052056294515</v>
          </cell>
          <cell r="Q72">
            <v>0.60349315949292748</v>
          </cell>
          <cell r="R72">
            <v>0.58565097057428117</v>
          </cell>
          <cell r="W72">
            <v>104616.0346780102</v>
          </cell>
          <cell r="X72">
            <v>3</v>
          </cell>
          <cell r="Y72">
            <v>244.87426489438562</v>
          </cell>
        </row>
        <row r="73">
          <cell r="A73">
            <v>44044</v>
          </cell>
          <cell r="B73" t="str">
            <v>Luxembourg</v>
          </cell>
          <cell r="C73" t="str">
            <v>700 MHz</v>
          </cell>
          <cell r="D73" t="str">
            <v>Sub-1 GHz</v>
          </cell>
          <cell r="F73" t="str">
            <v>Luxembourg - 2020 - 700 MHz</v>
          </cell>
          <cell r="K73">
            <v>15</v>
          </cell>
          <cell r="L73">
            <v>5479</v>
          </cell>
          <cell r="N73">
            <v>1.1112007313007475</v>
          </cell>
          <cell r="Q73">
            <v>0.60349315949292748</v>
          </cell>
          <cell r="R73">
            <v>0.58565097057428117</v>
          </cell>
          <cell r="W73">
            <v>104616.0346780102</v>
          </cell>
          <cell r="X73">
            <v>3</v>
          </cell>
          <cell r="Y73">
            <v>244.87426489438562</v>
          </cell>
        </row>
        <row r="74">
          <cell r="A74">
            <v>41244</v>
          </cell>
          <cell r="B74" t="str">
            <v>Norway</v>
          </cell>
          <cell r="C74" t="str">
            <v>2 GHz</v>
          </cell>
          <cell r="D74" t="str">
            <v>1-3 GHz</v>
          </cell>
          <cell r="F74" t="str">
            <v>Norway - 2012 - 2 GHz</v>
          </cell>
          <cell r="K74">
            <v>13.3</v>
          </cell>
          <cell r="L74">
            <v>4841</v>
          </cell>
          <cell r="N74">
            <v>9.9627135482742282E-2</v>
          </cell>
          <cell r="Q74">
            <v>6.0234974030129926</v>
          </cell>
          <cell r="R74">
            <v>5.8677988332040139</v>
          </cell>
          <cell r="W74">
            <v>73661.678591800941</v>
          </cell>
          <cell r="X74">
            <v>3</v>
          </cell>
          <cell r="Y74">
            <v>13.740329752165676</v>
          </cell>
        </row>
        <row r="75">
          <cell r="A75">
            <v>42339</v>
          </cell>
          <cell r="B75" t="str">
            <v>Norway</v>
          </cell>
          <cell r="C75" t="str">
            <v>1.8 GHz</v>
          </cell>
          <cell r="D75" t="str">
            <v>1-3 GHz</v>
          </cell>
          <cell r="F75" t="str">
            <v>Norway - 2015 - 1.8 GHz</v>
          </cell>
          <cell r="K75">
            <v>17.899999999999999</v>
          </cell>
          <cell r="L75">
            <v>6544</v>
          </cell>
          <cell r="N75">
            <v>5.6404559451120502</v>
          </cell>
          <cell r="Q75">
            <v>6.0583169257007263</v>
          </cell>
          <cell r="R75">
            <v>6.7398905197901042</v>
          </cell>
          <cell r="W75">
            <v>74809.965804989755</v>
          </cell>
          <cell r="X75">
            <v>3</v>
          </cell>
          <cell r="Y75">
            <v>14.207938482551718</v>
          </cell>
        </row>
        <row r="76">
          <cell r="A76">
            <v>42856</v>
          </cell>
          <cell r="B76" t="str">
            <v>Norway</v>
          </cell>
          <cell r="C76" t="str">
            <v>900 MHz</v>
          </cell>
          <cell r="D76" t="str">
            <v>Sub-1 GHz</v>
          </cell>
          <cell r="F76" t="str">
            <v>Norway - 2017 - 900 MHz</v>
          </cell>
          <cell r="K76">
            <v>16</v>
          </cell>
          <cell r="L76">
            <v>5844</v>
          </cell>
          <cell r="N76">
            <v>3.7437972927645977</v>
          </cell>
          <cell r="Q76">
            <v>6.3396171399731589</v>
          </cell>
          <cell r="R76">
            <v>6.5986330101187569</v>
          </cell>
          <cell r="W76">
            <v>76247.411655688149</v>
          </cell>
          <cell r="X76">
            <v>3</v>
          </cell>
          <cell r="Y76">
            <v>14.452576255124985</v>
          </cell>
        </row>
        <row r="77">
          <cell r="A77">
            <v>44440</v>
          </cell>
          <cell r="B77" t="str">
            <v>Norway</v>
          </cell>
          <cell r="C77" t="str">
            <v>3.6 GHz</v>
          </cell>
          <cell r="D77" t="str">
            <v>3.4-3.8 GHz</v>
          </cell>
          <cell r="F77" t="str">
            <v>Norway - 2021 - 3.6 GHz</v>
          </cell>
          <cell r="K77">
            <v>21</v>
          </cell>
          <cell r="L77">
            <v>7670</v>
          </cell>
          <cell r="N77">
            <v>1.4517141542622654</v>
          </cell>
          <cell r="Q77">
            <v>6.4527069261564067</v>
          </cell>
          <cell r="R77">
            <v>6.3260750640757317</v>
          </cell>
          <cell r="W77">
            <v>77812.711568210303</v>
          </cell>
          <cell r="X77">
            <v>3</v>
          </cell>
          <cell r="Y77">
            <v>14.847009086666484</v>
          </cell>
        </row>
        <row r="78">
          <cell r="A78">
            <v>44440</v>
          </cell>
          <cell r="B78" t="str">
            <v>Norway</v>
          </cell>
          <cell r="C78" t="str">
            <v>2.6 GHz</v>
          </cell>
          <cell r="D78" t="str">
            <v>1-3 GHz</v>
          </cell>
          <cell r="F78" t="str">
            <v>Norway - 2021 - 2.6 GHz</v>
          </cell>
          <cell r="K78">
            <v>20</v>
          </cell>
          <cell r="L78">
            <v>7305</v>
          </cell>
          <cell r="N78">
            <v>0.73745247089085353</v>
          </cell>
          <cell r="Q78">
            <v>6.4527069261564067</v>
          </cell>
          <cell r="R78">
            <v>6.3260750640757317</v>
          </cell>
          <cell r="W78">
            <v>77812.711568210303</v>
          </cell>
          <cell r="X78">
            <v>3</v>
          </cell>
          <cell r="Y78">
            <v>14.847009086666484</v>
          </cell>
        </row>
        <row r="79">
          <cell r="A79">
            <v>41183</v>
          </cell>
          <cell r="B79" t="str">
            <v>Poland</v>
          </cell>
          <cell r="C79" t="str">
            <v>1.8 GHz</v>
          </cell>
          <cell r="D79" t="str">
            <v>1-3 GHz</v>
          </cell>
          <cell r="F79" t="str">
            <v>Poland - 2012 - 1.8 GHz</v>
          </cell>
          <cell r="K79">
            <v>15</v>
          </cell>
          <cell r="L79">
            <v>5478</v>
          </cell>
          <cell r="N79">
            <v>0.12006358693670342</v>
          </cell>
          <cell r="Q79">
            <v>0.80600382784180313</v>
          </cell>
          <cell r="R79">
            <v>0.27878020543013954</v>
          </cell>
          <cell r="W79">
            <v>11542.235336801397</v>
          </cell>
          <cell r="X79">
            <v>4</v>
          </cell>
          <cell r="Y79">
            <v>124.30005878126838</v>
          </cell>
        </row>
        <row r="80">
          <cell r="A80">
            <v>42278</v>
          </cell>
          <cell r="B80" t="str">
            <v>Poland</v>
          </cell>
          <cell r="C80" t="str">
            <v>2.6 GHz</v>
          </cell>
          <cell r="D80" t="str">
            <v>1-3 GHz</v>
          </cell>
          <cell r="F80" t="str">
            <v>Poland - 2015 - 2.6 GHz</v>
          </cell>
          <cell r="K80">
            <v>15</v>
          </cell>
          <cell r="L80">
            <v>5479</v>
          </cell>
          <cell r="N80">
            <v>2.5479035578752286E-2</v>
          </cell>
          <cell r="Q80">
            <v>0.67735484213176533</v>
          </cell>
          <cell r="R80">
            <v>0.28648825285661833</v>
          </cell>
          <cell r="W80">
            <v>12637.522032440615</v>
          </cell>
          <cell r="X80">
            <v>4</v>
          </cell>
          <cell r="Y80">
            <v>124.0615696136386</v>
          </cell>
        </row>
        <row r="81">
          <cell r="A81">
            <v>45170</v>
          </cell>
          <cell r="B81" t="str">
            <v>Poland</v>
          </cell>
          <cell r="C81" t="str">
            <v>3.6 GHz</v>
          </cell>
          <cell r="D81" t="str">
            <v>3.4-3.8 GHz</v>
          </cell>
          <cell r="F81" t="str">
            <v>Poland - 2023 - 3.6 GHz</v>
          </cell>
          <cell r="K81">
            <v>15</v>
          </cell>
          <cell r="L81">
            <v>5479</v>
          </cell>
          <cell r="N81">
            <v>3.790190747736804E-2</v>
          </cell>
          <cell r="Q81">
            <v>0.61457469261244835</v>
          </cell>
          <cell r="R81">
            <v>0.29727270719530846</v>
          </cell>
          <cell r="W81">
            <v>17391.144148110157</v>
          </cell>
          <cell r="X81">
            <v>4</v>
          </cell>
          <cell r="Y81">
            <v>119.85805808749062</v>
          </cell>
        </row>
        <row r="82">
          <cell r="A82">
            <v>44470</v>
          </cell>
          <cell r="B82" t="str">
            <v>Portugal</v>
          </cell>
          <cell r="C82" t="str">
            <v>3.6 GHz</v>
          </cell>
          <cell r="D82" t="str">
            <v>3.4-3.8 GHz</v>
          </cell>
          <cell r="F82" t="str">
            <v>Portugal - 2021 - 3.6 GHz</v>
          </cell>
          <cell r="K82">
            <v>20</v>
          </cell>
          <cell r="L82">
            <v>7306</v>
          </cell>
          <cell r="N82">
            <v>7.9536889004813316E-2</v>
          </cell>
          <cell r="Q82">
            <v>0.63443791164764607</v>
          </cell>
          <cell r="R82">
            <v>0.37949844813553918</v>
          </cell>
          <cell r="W82">
            <v>20747.699097903107</v>
          </cell>
          <cell r="X82">
            <v>3</v>
          </cell>
          <cell r="Y82">
            <v>113.11351052774066</v>
          </cell>
        </row>
        <row r="83">
          <cell r="A83">
            <v>44470</v>
          </cell>
          <cell r="B83" t="str">
            <v>Portugal</v>
          </cell>
          <cell r="C83" t="str">
            <v xml:space="preserve">700 MHz &amp; 900 MHz </v>
          </cell>
          <cell r="D83" t="str">
            <v>Sub-1 GHz</v>
          </cell>
          <cell r="F83" t="str">
            <v xml:space="preserve">Portugal - 2021 - 700 MHz &amp; 900 MHz </v>
          </cell>
          <cell r="K83">
            <v>20</v>
          </cell>
          <cell r="L83">
            <v>7640</v>
          </cell>
          <cell r="N83">
            <v>0.21404770791207317</v>
          </cell>
          <cell r="Q83">
            <v>0.63443791164764607</v>
          </cell>
          <cell r="R83">
            <v>0.37949844813553918</v>
          </cell>
          <cell r="W83">
            <v>20747.699097903107</v>
          </cell>
          <cell r="X83">
            <v>3</v>
          </cell>
          <cell r="Y83">
            <v>113.11351052774066</v>
          </cell>
        </row>
        <row r="84">
          <cell r="A84">
            <v>44470</v>
          </cell>
          <cell r="B84" t="str">
            <v>Portugal</v>
          </cell>
          <cell r="C84" t="str">
            <v>1800 MHz</v>
          </cell>
          <cell r="D84" t="str">
            <v>1-3 GHz</v>
          </cell>
          <cell r="F84" t="str">
            <v>Portugal - 2021 - 1800 MHz</v>
          </cell>
          <cell r="K84">
            <v>20</v>
          </cell>
          <cell r="L84">
            <v>7306</v>
          </cell>
          <cell r="N84">
            <v>0.17484039902471549</v>
          </cell>
          <cell r="Q84">
            <v>0.63443791164764607</v>
          </cell>
          <cell r="R84">
            <v>0.37949844813553918</v>
          </cell>
          <cell r="W84">
            <v>20747.699097903107</v>
          </cell>
          <cell r="X84">
            <v>3</v>
          </cell>
          <cell r="Y84">
            <v>113.11351052774066</v>
          </cell>
        </row>
        <row r="85">
          <cell r="A85">
            <v>44470</v>
          </cell>
          <cell r="B85" t="str">
            <v>Portugal</v>
          </cell>
          <cell r="C85" t="str">
            <v>2.1 GHz</v>
          </cell>
          <cell r="D85" t="str">
            <v>1-3 GHz</v>
          </cell>
          <cell r="F85" t="str">
            <v>Portugal - 2021 - 2.1 GHz</v>
          </cell>
          <cell r="K85">
            <v>20</v>
          </cell>
          <cell r="L85">
            <v>7306</v>
          </cell>
          <cell r="N85">
            <v>0.10249153841632816</v>
          </cell>
          <cell r="Q85">
            <v>0.63443791164764607</v>
          </cell>
          <cell r="R85">
            <v>0.37949844813553918</v>
          </cell>
          <cell r="W85">
            <v>20747.699097903107</v>
          </cell>
          <cell r="X85">
            <v>3</v>
          </cell>
          <cell r="Y85">
            <v>113.11351052774066</v>
          </cell>
        </row>
        <row r="86">
          <cell r="A86">
            <v>44470</v>
          </cell>
          <cell r="B86" t="str">
            <v>Portugal</v>
          </cell>
          <cell r="C86" t="str">
            <v>2.6 GHz</v>
          </cell>
          <cell r="D86" t="str">
            <v>1-3 GHz</v>
          </cell>
          <cell r="F86" t="str">
            <v>Portugal - 2021 - 2.6 GHz</v>
          </cell>
          <cell r="K86">
            <v>20</v>
          </cell>
          <cell r="L86">
            <v>7306</v>
          </cell>
          <cell r="N86">
            <v>5.1406615941397484E-2</v>
          </cell>
          <cell r="Q86">
            <v>0.63443791164764607</v>
          </cell>
          <cell r="R86">
            <v>0.37949844813553918</v>
          </cell>
          <cell r="W86">
            <v>20747.699097903107</v>
          </cell>
          <cell r="X86">
            <v>3</v>
          </cell>
          <cell r="Y86">
            <v>113.11351052774066</v>
          </cell>
        </row>
        <row r="87">
          <cell r="A87">
            <v>44501</v>
          </cell>
          <cell r="B87" t="str">
            <v>Romania</v>
          </cell>
          <cell r="C87" t="str">
            <v>2.6 GHz</v>
          </cell>
          <cell r="D87" t="str">
            <v>1-3 GHz</v>
          </cell>
          <cell r="F87" t="str">
            <v>Romania - 2021 - 2.6 GHz</v>
          </cell>
          <cell r="K87">
            <v>7.3</v>
          </cell>
          <cell r="L87">
            <v>2652</v>
          </cell>
          <cell r="N87">
            <v>1.9682171065555039E-2</v>
          </cell>
          <cell r="Q87">
            <v>3.1252560466468582</v>
          </cell>
          <cell r="R87">
            <v>1.1560494143521169</v>
          </cell>
          <cell r="W87">
            <v>11607.977117307484</v>
          </cell>
          <cell r="X87">
            <v>4</v>
          </cell>
          <cell r="Y87">
            <v>83.110478963838659</v>
          </cell>
        </row>
        <row r="88">
          <cell r="A88">
            <v>42826</v>
          </cell>
          <cell r="B88" t="str">
            <v>Singapore</v>
          </cell>
          <cell r="C88" t="str">
            <v>700 MHz</v>
          </cell>
          <cell r="D88" t="str">
            <v>Sub-1 GHz</v>
          </cell>
          <cell r="F88" t="str">
            <v>Singapore - 2017 - 700 MHz</v>
          </cell>
          <cell r="K88">
            <v>15</v>
          </cell>
          <cell r="L88">
            <v>5479</v>
          </cell>
          <cell r="N88">
            <v>1.674907568265847</v>
          </cell>
          <cell r="Q88">
            <v>1.0583762803567327</v>
          </cell>
          <cell r="R88">
            <v>0.59775501260729336</v>
          </cell>
          <cell r="W88">
            <v>59414.654945910304</v>
          </cell>
          <cell r="X88">
            <v>4</v>
          </cell>
          <cell r="Y88">
            <v>7882.3778089887637</v>
          </cell>
        </row>
        <row r="89">
          <cell r="A89">
            <v>42826</v>
          </cell>
          <cell r="B89" t="str">
            <v>Singapore</v>
          </cell>
          <cell r="C89" t="str">
            <v>900 MHz</v>
          </cell>
          <cell r="D89" t="str">
            <v>Sub-1 GHz</v>
          </cell>
          <cell r="F89" t="str">
            <v>Singapore - 2017 - 900 MHz</v>
          </cell>
          <cell r="K89">
            <v>16</v>
          </cell>
          <cell r="L89">
            <v>5844</v>
          </cell>
          <cell r="N89">
            <v>0.85527194975277299</v>
          </cell>
          <cell r="Q89">
            <v>1.0583762803567327</v>
          </cell>
          <cell r="R89">
            <v>0.59775501260729336</v>
          </cell>
          <cell r="W89">
            <v>59414.654945910304</v>
          </cell>
          <cell r="X89">
            <v>4</v>
          </cell>
          <cell r="Y89">
            <v>7882.3778089887637</v>
          </cell>
        </row>
        <row r="90">
          <cell r="A90">
            <v>42826</v>
          </cell>
          <cell r="B90" t="str">
            <v>Singapore</v>
          </cell>
          <cell r="C90" t="str">
            <v>2.5 GHz</v>
          </cell>
          <cell r="D90" t="str">
            <v>1-3 GHz</v>
          </cell>
          <cell r="F90" t="str">
            <v>Singapore - 2017 - 2.5 GHz</v>
          </cell>
          <cell r="K90">
            <v>16</v>
          </cell>
          <cell r="L90">
            <v>5844</v>
          </cell>
          <cell r="N90">
            <v>0.42407234175241659</v>
          </cell>
          <cell r="Q90">
            <v>1.0583762803567327</v>
          </cell>
          <cell r="R90">
            <v>0.59775501260729336</v>
          </cell>
          <cell r="W90">
            <v>59414.654945910304</v>
          </cell>
          <cell r="X90">
            <v>4</v>
          </cell>
          <cell r="Y90">
            <v>7882.3778089887637</v>
          </cell>
        </row>
        <row r="91">
          <cell r="A91">
            <v>44136</v>
          </cell>
          <cell r="B91" t="str">
            <v>Slovakia</v>
          </cell>
          <cell r="C91" t="str">
            <v>700 MHz</v>
          </cell>
          <cell r="D91" t="str">
            <v>Sub-1 GHz</v>
          </cell>
          <cell r="F91" t="str">
            <v>Slovakia - 2020 - 700 MHz</v>
          </cell>
          <cell r="K91">
            <v>20</v>
          </cell>
          <cell r="L91">
            <v>7344</v>
          </cell>
          <cell r="N91">
            <v>0.29867297877242743</v>
          </cell>
          <cell r="Q91">
            <v>0.60349315949292748</v>
          </cell>
          <cell r="R91">
            <v>0.34174304394398125</v>
          </cell>
          <cell r="W91">
            <v>17763.856402931699</v>
          </cell>
          <cell r="X91">
            <v>4</v>
          </cell>
          <cell r="Y91">
            <v>113.53633527454242</v>
          </cell>
        </row>
        <row r="92">
          <cell r="A92">
            <v>44743</v>
          </cell>
          <cell r="B92" t="str">
            <v>Slovakia</v>
          </cell>
          <cell r="C92" t="str">
            <v>3.5 GHz</v>
          </cell>
          <cell r="D92" t="str">
            <v>3.4-3.8 GHz</v>
          </cell>
          <cell r="F92" t="str">
            <v>Slovakia - 2022 - 3.5 GHz</v>
          </cell>
          <cell r="K92">
            <v>20</v>
          </cell>
          <cell r="L92">
            <v>7427</v>
          </cell>
          <cell r="N92">
            <v>2.9276925750660193E-2</v>
          </cell>
          <cell r="Q92">
            <v>0.65884435785124662</v>
          </cell>
          <cell r="R92">
            <v>0.35870171232003151</v>
          </cell>
          <cell r="W92">
            <v>18959.681836305688</v>
          </cell>
          <cell r="X92">
            <v>4</v>
          </cell>
          <cell r="Y92">
            <v>112.97321131447588</v>
          </cell>
        </row>
        <row r="93">
          <cell r="A93">
            <v>44287</v>
          </cell>
          <cell r="B93" t="str">
            <v>Slovenia</v>
          </cell>
          <cell r="C93" t="str">
            <v>1.5 GHz</v>
          </cell>
          <cell r="D93" t="str">
            <v>1-3 GHz</v>
          </cell>
          <cell r="F93" t="str">
            <v>Slovenia - 2021 - 1.5 GHz</v>
          </cell>
          <cell r="K93">
            <v>15</v>
          </cell>
          <cell r="L93">
            <v>5480</v>
          </cell>
          <cell r="N93">
            <v>1.6713852237718617E-2</v>
          </cell>
          <cell r="Q93">
            <v>0.63443791164764607</v>
          </cell>
          <cell r="R93">
            <v>0.37643777754091778</v>
          </cell>
          <cell r="W93">
            <v>24659.249901338451</v>
          </cell>
          <cell r="X93">
            <v>4</v>
          </cell>
          <cell r="Y93">
            <v>104.68996444250213</v>
          </cell>
        </row>
        <row r="94">
          <cell r="A94">
            <v>44287</v>
          </cell>
          <cell r="B94" t="str">
            <v>Slovenia</v>
          </cell>
          <cell r="C94" t="str">
            <v>3.6 GHz</v>
          </cell>
          <cell r="D94" t="str">
            <v>3.4-3.8 GHz</v>
          </cell>
          <cell r="F94" t="str">
            <v>Slovenia - 2021 - 3.6 GHz</v>
          </cell>
          <cell r="K94">
            <v>15</v>
          </cell>
          <cell r="L94">
            <v>5480</v>
          </cell>
          <cell r="N94">
            <v>5.8234490245841923E-2</v>
          </cell>
          <cell r="Q94">
            <v>0.63443791164764607</v>
          </cell>
          <cell r="R94">
            <v>0.37643777754091778</v>
          </cell>
          <cell r="W94">
            <v>24659.249901338451</v>
          </cell>
          <cell r="X94">
            <v>4</v>
          </cell>
          <cell r="Y94">
            <v>104.68996444250213</v>
          </cell>
        </row>
        <row r="95">
          <cell r="A95">
            <v>44287</v>
          </cell>
          <cell r="B95" t="str">
            <v>Slovenia</v>
          </cell>
          <cell r="C95" t="str">
            <v>700 MHz</v>
          </cell>
          <cell r="D95" t="str">
            <v>Sub-1 GHz</v>
          </cell>
          <cell r="F95" t="str">
            <v>Slovenia - 2021 - 700 MHz</v>
          </cell>
          <cell r="K95">
            <v>15</v>
          </cell>
          <cell r="L95">
            <v>5480</v>
          </cell>
          <cell r="N95">
            <v>0.19926385509468461</v>
          </cell>
          <cell r="Q95">
            <v>0.63443791164764607</v>
          </cell>
          <cell r="R95">
            <v>0.37643777754091778</v>
          </cell>
          <cell r="W95">
            <v>24659.249901338451</v>
          </cell>
          <cell r="X95">
            <v>4</v>
          </cell>
          <cell r="Y95">
            <v>104.68996444250213</v>
          </cell>
        </row>
        <row r="96">
          <cell r="A96">
            <v>44287</v>
          </cell>
          <cell r="B96" t="str">
            <v>Slovenia</v>
          </cell>
          <cell r="C96" t="str">
            <v>2.1 GHz</v>
          </cell>
          <cell r="D96" t="str">
            <v>1-3 GHz</v>
          </cell>
          <cell r="F96" t="str">
            <v>Slovenia - 2021 - 2.1 GHz</v>
          </cell>
          <cell r="K96">
            <v>15</v>
          </cell>
          <cell r="L96">
            <v>5480</v>
          </cell>
          <cell r="N96">
            <v>0.2848164994547957</v>
          </cell>
          <cell r="Q96">
            <v>0.63443791164764607</v>
          </cell>
          <cell r="R96">
            <v>0.37643777754091778</v>
          </cell>
          <cell r="W96">
            <v>24659.249901338451</v>
          </cell>
          <cell r="X96">
            <v>4</v>
          </cell>
          <cell r="Y96">
            <v>104.68996444250213</v>
          </cell>
        </row>
        <row r="97">
          <cell r="A97">
            <v>44287</v>
          </cell>
          <cell r="B97" t="str">
            <v>Slovenia</v>
          </cell>
          <cell r="C97" t="str">
            <v>2.3 GHz</v>
          </cell>
          <cell r="D97" t="str">
            <v>1-3 GHz</v>
          </cell>
          <cell r="F97" t="str">
            <v>Slovenia - 2021 - 2.3 GHz</v>
          </cell>
          <cell r="K97">
            <v>15</v>
          </cell>
          <cell r="L97">
            <v>5480</v>
          </cell>
          <cell r="N97">
            <v>7.6138143829191526E-2</v>
          </cell>
          <cell r="Q97">
            <v>0.63443791164764607</v>
          </cell>
          <cell r="R97">
            <v>0.37643777754091778</v>
          </cell>
          <cell r="W97">
            <v>24659.249901338451</v>
          </cell>
          <cell r="X97">
            <v>4</v>
          </cell>
          <cell r="Y97">
            <v>104.68996444250213</v>
          </cell>
        </row>
        <row r="98">
          <cell r="A98">
            <v>43252</v>
          </cell>
          <cell r="B98" t="str">
            <v>South Korea</v>
          </cell>
          <cell r="C98" t="str">
            <v>3.5 GHz</v>
          </cell>
          <cell r="D98" t="str">
            <v>3.4-3.8 GHz</v>
          </cell>
          <cell r="F98" t="str">
            <v>South Korea - 2018 - 3.5 GHz</v>
          </cell>
          <cell r="K98">
            <v>10</v>
          </cell>
          <cell r="L98">
            <v>3653</v>
          </cell>
          <cell r="N98">
            <v>207.6667239571583</v>
          </cell>
          <cell r="Q98">
            <v>821.99144429425007</v>
          </cell>
          <cell r="R98">
            <v>581.38578131301426</v>
          </cell>
          <cell r="W98">
            <v>31059.266808792658</v>
          </cell>
          <cell r="X98">
            <v>3</v>
          </cell>
          <cell r="Y98">
            <v>528.96901148482368</v>
          </cell>
        </row>
        <row r="99">
          <cell r="A99">
            <v>40664</v>
          </cell>
          <cell r="B99" t="str">
            <v>Spain</v>
          </cell>
          <cell r="C99" t="str">
            <v>1.8 GHz</v>
          </cell>
          <cell r="D99" t="str">
            <v>1-3 GHz</v>
          </cell>
          <cell r="F99" t="str">
            <v>Spain - 2011 - 1.8 GHz</v>
          </cell>
          <cell r="K99">
            <v>19.5</v>
          </cell>
          <cell r="L99">
            <v>7505</v>
          </cell>
          <cell r="N99">
            <v>2.9951202858491455E-2</v>
          </cell>
          <cell r="Q99">
            <v>0.74076846445962585</v>
          </cell>
          <cell r="R99">
            <v>0.47260385479784944</v>
          </cell>
          <cell r="W99">
            <v>25510.557960106878</v>
          </cell>
          <cell r="X99">
            <v>4</v>
          </cell>
          <cell r="Y99">
            <v>93.507835880611353</v>
          </cell>
        </row>
        <row r="100">
          <cell r="A100">
            <v>40756</v>
          </cell>
          <cell r="B100" t="str">
            <v>Spain</v>
          </cell>
          <cell r="C100" t="str">
            <v>2.6 GHz</v>
          </cell>
          <cell r="D100" t="str">
            <v>1-3 GHz</v>
          </cell>
          <cell r="F100" t="str">
            <v>Spain - 2011 - 2.6 GHz</v>
          </cell>
          <cell r="K100">
            <v>19.5</v>
          </cell>
          <cell r="L100">
            <v>6952</v>
          </cell>
          <cell r="N100">
            <v>2.6390677212558545E-2</v>
          </cell>
          <cell r="Q100">
            <v>0.74076846445962585</v>
          </cell>
          <cell r="R100">
            <v>0.47260385479784944</v>
          </cell>
          <cell r="W100">
            <v>25510.557960106878</v>
          </cell>
          <cell r="X100">
            <v>4</v>
          </cell>
          <cell r="Y100">
            <v>93.507835880611353</v>
          </cell>
        </row>
        <row r="101">
          <cell r="A101">
            <v>43282</v>
          </cell>
          <cell r="B101" t="str">
            <v>Spain</v>
          </cell>
          <cell r="C101" t="str">
            <v>3.7 GHz</v>
          </cell>
          <cell r="D101" t="str">
            <v>3.4-3.8 GHz</v>
          </cell>
          <cell r="F101" t="str">
            <v>Spain - 2018 - 3.7 GHz</v>
          </cell>
          <cell r="K101">
            <v>20</v>
          </cell>
          <cell r="L101">
            <v>7305</v>
          </cell>
          <cell r="N101">
            <v>4.6754380562793678E-2</v>
          </cell>
          <cell r="Q101">
            <v>0.63235870607497435</v>
          </cell>
          <cell r="R101">
            <v>0.4296767620849522</v>
          </cell>
          <cell r="W101">
            <v>27947.317765261942</v>
          </cell>
          <cell r="X101">
            <v>4</v>
          </cell>
          <cell r="Y101">
            <v>93.669792079250115</v>
          </cell>
        </row>
        <row r="102">
          <cell r="A102">
            <v>44378</v>
          </cell>
          <cell r="B102" t="str">
            <v>Spain</v>
          </cell>
          <cell r="C102" t="str">
            <v>700 MHz</v>
          </cell>
          <cell r="D102" t="str">
            <v>Sub-1 GHz</v>
          </cell>
          <cell r="F102" t="str">
            <v>Spain - 2021 - 700 MHz</v>
          </cell>
          <cell r="K102">
            <v>20</v>
          </cell>
          <cell r="L102">
            <v>7306</v>
          </cell>
          <cell r="N102">
            <v>0.35552818487858423</v>
          </cell>
          <cell r="Q102">
            <v>0.63443791164764607</v>
          </cell>
          <cell r="R102">
            <v>0.41714483762422505</v>
          </cell>
          <cell r="W102">
            <v>26721.148180545268</v>
          </cell>
          <cell r="X102">
            <v>4</v>
          </cell>
          <cell r="Y102">
            <v>94.882208796979697</v>
          </cell>
        </row>
        <row r="103">
          <cell r="A103">
            <v>40817</v>
          </cell>
          <cell r="B103" t="str">
            <v>Sweden</v>
          </cell>
          <cell r="C103" t="str">
            <v>1.8 GHz</v>
          </cell>
          <cell r="D103" t="str">
            <v>1-3 GHz</v>
          </cell>
          <cell r="F103" t="str">
            <v>Sweden - 2011 - 1.8 GHz</v>
          </cell>
          <cell r="K103">
            <v>25</v>
          </cell>
          <cell r="L103">
            <v>9131</v>
          </cell>
          <cell r="N103">
            <v>2.0409863007336471</v>
          </cell>
          <cell r="Q103">
            <v>6.6980812921089496</v>
          </cell>
          <cell r="R103">
            <v>5.8529038047664805</v>
          </cell>
          <cell r="W103">
            <v>49355.689941973738</v>
          </cell>
          <cell r="X103">
            <v>3</v>
          </cell>
          <cell r="Y103">
            <v>23.197378011522076</v>
          </cell>
        </row>
        <row r="104">
          <cell r="A104">
            <v>42644</v>
          </cell>
          <cell r="B104" t="str">
            <v>Sweden</v>
          </cell>
          <cell r="C104" t="str">
            <v>1.8 GHz</v>
          </cell>
          <cell r="D104" t="str">
            <v>1-3 GHz</v>
          </cell>
          <cell r="F104" t="str">
            <v>Sweden - 2016 - 1.8 GHz</v>
          </cell>
          <cell r="K104">
            <v>10.6</v>
          </cell>
          <cell r="L104">
            <v>3866</v>
          </cell>
          <cell r="N104">
            <v>1.0078015052778446</v>
          </cell>
          <cell r="Q104">
            <v>6.3647804879353611</v>
          </cell>
          <cell r="R104">
            <v>6.0838875265833465</v>
          </cell>
          <cell r="W104">
            <v>51746.696963247814</v>
          </cell>
          <cell r="X104">
            <v>3</v>
          </cell>
          <cell r="Y104">
            <v>24.362449750883012</v>
          </cell>
        </row>
        <row r="105">
          <cell r="A105">
            <v>43435</v>
          </cell>
          <cell r="B105" t="str">
            <v>Sweden</v>
          </cell>
          <cell r="C105" t="str">
            <v>700 MHz</v>
          </cell>
          <cell r="D105" t="str">
            <v>Sub-1 GHz</v>
          </cell>
          <cell r="F105" t="str">
            <v>Sweden - 2018 - 700 MHz</v>
          </cell>
          <cell r="K105">
            <v>22</v>
          </cell>
          <cell r="L105">
            <v>8054</v>
          </cell>
          <cell r="N105">
            <v>6.9423492144142482</v>
          </cell>
          <cell r="Q105">
            <v>6.4946499150467965</v>
          </cell>
          <cell r="R105">
            <v>6.0295585631966206</v>
          </cell>
          <cell r="W105">
            <v>52363.382918129566</v>
          </cell>
          <cell r="X105">
            <v>3</v>
          </cell>
          <cell r="Y105">
            <v>24.981458868837798</v>
          </cell>
        </row>
        <row r="106">
          <cell r="A106">
            <v>44105</v>
          </cell>
          <cell r="B106" t="str">
            <v>Sweden</v>
          </cell>
          <cell r="C106" t="str">
            <v>3.5 GHz</v>
          </cell>
          <cell r="D106" t="str">
            <v>3.4-3.8 GHz</v>
          </cell>
          <cell r="F106" t="str">
            <v>Sweden - 2020 - 3.5 GHz</v>
          </cell>
          <cell r="K106">
            <v>24.9</v>
          </cell>
          <cell r="L106">
            <v>9112</v>
          </cell>
          <cell r="N106">
            <v>0.5786119262318753</v>
          </cell>
          <cell r="Q106">
            <v>6.3384511418833229</v>
          </cell>
          <cell r="R106">
            <v>5.8942384620060748</v>
          </cell>
          <cell r="W106">
            <v>51715.781040959962</v>
          </cell>
          <cell r="X106">
            <v>3</v>
          </cell>
          <cell r="Y106">
            <v>25.420943822431742</v>
          </cell>
        </row>
        <row r="107">
          <cell r="A107">
            <v>44105</v>
          </cell>
          <cell r="B107" t="str">
            <v>Sweden</v>
          </cell>
          <cell r="C107" t="str">
            <v>2.3 GHz</v>
          </cell>
          <cell r="D107" t="str">
            <v>1-3 GHz</v>
          </cell>
          <cell r="F107" t="str">
            <v>Sweden - 2020 - 2.3 GHz</v>
          </cell>
          <cell r="K107">
            <v>24.9</v>
          </cell>
          <cell r="L107">
            <v>9112</v>
          </cell>
          <cell r="N107">
            <v>0.48293118365853599</v>
          </cell>
          <cell r="Q107">
            <v>6.3384511418833229</v>
          </cell>
          <cell r="R107">
            <v>5.8942384620060748</v>
          </cell>
          <cell r="W107">
            <v>51715.781040959962</v>
          </cell>
          <cell r="X107">
            <v>3</v>
          </cell>
          <cell r="Y107">
            <v>25.420943822431742</v>
          </cell>
        </row>
        <row r="108">
          <cell r="A108">
            <v>45170</v>
          </cell>
          <cell r="B108" t="str">
            <v>Sweden</v>
          </cell>
          <cell r="C108" t="str">
            <v>2.1 GHz</v>
          </cell>
          <cell r="D108" t="str">
            <v>1-3 GHz</v>
          </cell>
          <cell r="F108" t="str">
            <v>Sweden - 2023 - 2.1 GHz</v>
          </cell>
          <cell r="K108">
            <v>15</v>
          </cell>
          <cell r="L108">
            <v>5479</v>
          </cell>
          <cell r="N108">
            <v>0.45406104601904412</v>
          </cell>
          <cell r="Q108">
            <v>7.0490461569995384</v>
          </cell>
          <cell r="R108">
            <v>6.116821025815022</v>
          </cell>
          <cell r="W108">
            <v>54449.798204295257</v>
          </cell>
          <cell r="X108">
            <v>3</v>
          </cell>
          <cell r="Y108">
            <v>25.870732665488116</v>
          </cell>
        </row>
        <row r="109">
          <cell r="A109">
            <v>45170</v>
          </cell>
          <cell r="B109" t="str">
            <v>Sweden</v>
          </cell>
          <cell r="C109" t="str">
            <v>900 MHz</v>
          </cell>
          <cell r="D109" t="str">
            <v>Sub-1 GHz</v>
          </cell>
          <cell r="F109" t="str">
            <v>Sweden - 2023 - 900 MHz</v>
          </cell>
          <cell r="K109">
            <v>22</v>
          </cell>
          <cell r="L109">
            <v>8401</v>
          </cell>
          <cell r="N109">
            <v>3.11978744530255</v>
          </cell>
          <cell r="Q109">
            <v>7.0490461569995384</v>
          </cell>
          <cell r="R109">
            <v>6.116821025815022</v>
          </cell>
          <cell r="W109">
            <v>54449.798204295257</v>
          </cell>
          <cell r="X109">
            <v>3</v>
          </cell>
          <cell r="Y109">
            <v>25.870732665488116</v>
          </cell>
        </row>
        <row r="110">
          <cell r="A110">
            <v>45170</v>
          </cell>
          <cell r="B110" t="str">
            <v>Sweden</v>
          </cell>
          <cell r="C110" t="str">
            <v>2.6 GHz</v>
          </cell>
          <cell r="D110" t="str">
            <v>1-3 GHz</v>
          </cell>
          <cell r="F110" t="str">
            <v>Sweden - 2023 - 2.6 GHz</v>
          </cell>
          <cell r="K110">
            <v>15</v>
          </cell>
          <cell r="L110">
            <v>5479</v>
          </cell>
          <cell r="N110">
            <v>0.72953349737015249</v>
          </cell>
          <cell r="Q110">
            <v>7.0490461569995384</v>
          </cell>
          <cell r="R110">
            <v>6.116821025815022</v>
          </cell>
          <cell r="W110">
            <v>54449.798204295257</v>
          </cell>
          <cell r="X110">
            <v>3</v>
          </cell>
          <cell r="Y110">
            <v>25.870732665488116</v>
          </cell>
        </row>
        <row r="111">
          <cell r="A111">
            <v>43862</v>
          </cell>
          <cell r="B111" t="str">
            <v>Thailand</v>
          </cell>
          <cell r="C111" t="str">
            <v>700 MHz</v>
          </cell>
          <cell r="D111" t="str">
            <v>Sub-1 GHz</v>
          </cell>
          <cell r="F111" t="str">
            <v>Thailand - 2020 - 700 MHz</v>
          </cell>
          <cell r="K111">
            <v>15</v>
          </cell>
          <cell r="L111">
            <v>5479</v>
          </cell>
          <cell r="N111">
            <v>24.636539233616915</v>
          </cell>
          <cell r="Q111">
            <v>21.536022092105565</v>
          </cell>
          <cell r="R111">
            <v>7.970647108016907</v>
          </cell>
          <cell r="W111">
            <v>6035.1862773707708</v>
          </cell>
          <cell r="X111">
            <v>3</v>
          </cell>
          <cell r="Y111">
            <v>140.22878506136351</v>
          </cell>
        </row>
        <row r="112">
          <cell r="A112">
            <v>43191</v>
          </cell>
          <cell r="B112" t="str">
            <v>United Kingdom</v>
          </cell>
          <cell r="C112" t="str">
            <v>2.3 GHz</v>
          </cell>
          <cell r="D112" t="str">
            <v>1-3 GHz</v>
          </cell>
          <cell r="F112" t="str">
            <v>United Kingdom - 2018 - 2.3 GHz</v>
          </cell>
          <cell r="K112">
            <v>20</v>
          </cell>
          <cell r="L112">
            <v>7305</v>
          </cell>
          <cell r="N112">
            <v>7.744467889001598E-2</v>
          </cell>
          <cell r="Q112">
            <v>0.56001549465893308</v>
          </cell>
          <cell r="R112">
            <v>0.46770443205026113</v>
          </cell>
          <cell r="W112">
            <v>46742.148119049307</v>
          </cell>
          <cell r="X112">
            <v>4</v>
          </cell>
          <cell r="Y112">
            <v>274.70898193692392</v>
          </cell>
        </row>
        <row r="113">
          <cell r="A113">
            <v>43191</v>
          </cell>
          <cell r="B113" t="str">
            <v>United Kingdom</v>
          </cell>
          <cell r="C113" t="str">
            <v>3.4 GHz</v>
          </cell>
          <cell r="D113" t="str">
            <v>3.4-3.8 GHz</v>
          </cell>
          <cell r="F113" t="str">
            <v>United Kingdom - 2018 - 3.4 GHz</v>
          </cell>
          <cell r="K113">
            <v>20</v>
          </cell>
          <cell r="L113">
            <v>7305</v>
          </cell>
          <cell r="N113">
            <v>0.11534176430584429</v>
          </cell>
          <cell r="Q113">
            <v>0.56001549465893308</v>
          </cell>
          <cell r="R113">
            <v>0.46770443205026113</v>
          </cell>
          <cell r="W113">
            <v>46742.148119049307</v>
          </cell>
          <cell r="X113">
            <v>4</v>
          </cell>
          <cell r="Y113">
            <v>274.70898193692392</v>
          </cell>
        </row>
        <row r="114">
          <cell r="A114">
            <v>44256</v>
          </cell>
          <cell r="B114" t="str">
            <v>United Kingdom</v>
          </cell>
          <cell r="C114" t="str">
            <v>3.6 GHz</v>
          </cell>
          <cell r="D114" t="str">
            <v>3.4-3.8 GHz</v>
          </cell>
          <cell r="F114" t="str">
            <v>United Kingdom - 2021 - 3.6 GHz</v>
          </cell>
          <cell r="K114">
            <v>20</v>
          </cell>
          <cell r="L114">
            <v>7305</v>
          </cell>
          <cell r="N114">
            <v>6.3422213004794586E-2</v>
          </cell>
          <cell r="Q114">
            <v>0.54616263147332555</v>
          </cell>
          <cell r="R114">
            <v>0.45521545751590164</v>
          </cell>
          <cell r="W114">
            <v>45873.869597011049</v>
          </cell>
          <cell r="X114">
            <v>4</v>
          </cell>
          <cell r="Y114">
            <v>277.04828669449842</v>
          </cell>
        </row>
        <row r="115">
          <cell r="A115">
            <v>44256</v>
          </cell>
          <cell r="B115" t="str">
            <v>United Kingdom</v>
          </cell>
          <cell r="C115" t="str">
            <v>700 MHz</v>
          </cell>
          <cell r="D115" t="str">
            <v>Sub-1 GHz</v>
          </cell>
          <cell r="F115" t="str">
            <v>United Kingdom - 2021 - 700 MHz</v>
          </cell>
          <cell r="K115">
            <v>20</v>
          </cell>
          <cell r="L115">
            <v>7305</v>
          </cell>
          <cell r="N115">
            <v>0.20947296601749996</v>
          </cell>
          <cell r="Q115">
            <v>0.54616263147332555</v>
          </cell>
          <cell r="R115">
            <v>0.45521545751590164</v>
          </cell>
          <cell r="W115">
            <v>45873.869597011049</v>
          </cell>
          <cell r="X115">
            <v>4</v>
          </cell>
          <cell r="Y115">
            <v>277.04828669449842</v>
          </cell>
        </row>
        <row r="116">
          <cell r="A116">
            <v>41671</v>
          </cell>
          <cell r="B116" t="str">
            <v>United States</v>
          </cell>
          <cell r="C116" t="str">
            <v>1.995 GHz</v>
          </cell>
          <cell r="D116" t="str">
            <v>1-3 GHz</v>
          </cell>
          <cell r="F116" t="str">
            <v>United States - 2014 - 1.995 GHz</v>
          </cell>
          <cell r="K116">
            <v>10</v>
          </cell>
          <cell r="L116">
            <v>3653</v>
          </cell>
          <cell r="N116">
            <v>0.49122712175245437</v>
          </cell>
          <cell r="Q116">
            <v>0.90141796332631285</v>
          </cell>
          <cell r="R116">
            <v>0.6884733722596178</v>
          </cell>
          <cell r="W116">
            <v>55817.563247195831</v>
          </cell>
          <cell r="X116">
            <v>3</v>
          </cell>
          <cell r="Y116">
            <v>34.806134297976918</v>
          </cell>
        </row>
        <row r="117">
          <cell r="A117">
            <v>42005</v>
          </cell>
          <cell r="B117" t="str">
            <v>United States</v>
          </cell>
          <cell r="C117" t="str">
            <v xml:space="preserve">1.7-2.2 GHz </v>
          </cell>
          <cell r="D117" t="str">
            <v>1-3 GHz</v>
          </cell>
          <cell r="F117" t="str">
            <v xml:space="preserve">United States - 2015 - 1.7-2.2 GHz </v>
          </cell>
          <cell r="K117">
            <v>10</v>
          </cell>
          <cell r="L117">
            <v>3653</v>
          </cell>
          <cell r="N117">
            <v>1.9824257077959424</v>
          </cell>
          <cell r="Q117">
            <v>0.75126385355387704</v>
          </cell>
          <cell r="R117">
            <v>0.6785683023103215</v>
          </cell>
          <cell r="W117">
            <v>57040.20821366048</v>
          </cell>
          <cell r="X117">
            <v>3</v>
          </cell>
          <cell r="Y117">
            <v>35.063328676282495</v>
          </cell>
        </row>
        <row r="118">
          <cell r="A118">
            <v>42795</v>
          </cell>
          <cell r="B118" t="str">
            <v>United States</v>
          </cell>
          <cell r="C118" t="str">
            <v>600 MHz</v>
          </cell>
          <cell r="D118" t="str">
            <v>Sub-1 GHz</v>
          </cell>
          <cell r="F118" t="str">
            <v>United States - 2017 - 600 MHz</v>
          </cell>
          <cell r="K118">
            <v>12</v>
          </cell>
          <cell r="L118">
            <v>4383</v>
          </cell>
          <cell r="N118">
            <v>0.90269910476459114</v>
          </cell>
          <cell r="Q118">
            <v>0.76642560628327594</v>
          </cell>
          <cell r="R118">
            <v>0.67679467335520282</v>
          </cell>
          <cell r="W118">
            <v>58703.144078016121</v>
          </cell>
          <cell r="X118">
            <v>3</v>
          </cell>
          <cell r="Y118">
            <v>35.54249482367706</v>
          </cell>
        </row>
        <row r="119">
          <cell r="A119">
            <v>44228</v>
          </cell>
          <cell r="B119" t="str">
            <v>United States</v>
          </cell>
          <cell r="C119" t="str">
            <v>3.7 GHz</v>
          </cell>
          <cell r="D119" t="str">
            <v>3.4-3.8 GHz</v>
          </cell>
          <cell r="F119" t="str">
            <v>United States - 2021 - 3.7 GHz</v>
          </cell>
          <cell r="K119">
            <v>15</v>
          </cell>
          <cell r="L119">
            <v>5479</v>
          </cell>
          <cell r="N119">
            <v>0.94169766175159753</v>
          </cell>
          <cell r="Q119">
            <v>0.75118823354556541</v>
          </cell>
          <cell r="R119">
            <v>0.70587421462670197</v>
          </cell>
          <cell r="W119">
            <v>62996.289383744435</v>
          </cell>
          <cell r="X119">
            <v>3</v>
          </cell>
          <cell r="Y119">
            <v>36.299741019872272</v>
          </cell>
        </row>
        <row r="120">
          <cell r="A120">
            <v>44470</v>
          </cell>
          <cell r="B120" t="str">
            <v>United States</v>
          </cell>
          <cell r="C120" t="str">
            <v>3.45 GHz</v>
          </cell>
          <cell r="D120" t="str">
            <v>3.4-3.8 GHz</v>
          </cell>
          <cell r="F120" t="str">
            <v>United States - 2021 - 3.45 GHz</v>
          </cell>
          <cell r="K120">
            <v>15</v>
          </cell>
          <cell r="L120">
            <v>5479</v>
          </cell>
          <cell r="N120">
            <v>0.71371997605830317</v>
          </cell>
          <cell r="Q120">
            <v>0.75118823354556541</v>
          </cell>
          <cell r="R120">
            <v>0.70587421462670197</v>
          </cell>
          <cell r="W120">
            <v>62996.289383744435</v>
          </cell>
          <cell r="X120">
            <v>3</v>
          </cell>
          <cell r="Y120">
            <v>36.299741019872272</v>
          </cell>
        </row>
        <row r="121">
          <cell r="A121">
            <v>44774</v>
          </cell>
          <cell r="B121" t="str">
            <v>United States</v>
          </cell>
          <cell r="C121" t="str">
            <v>2.5 GHz</v>
          </cell>
          <cell r="D121" t="str">
            <v>1-3 GHz</v>
          </cell>
          <cell r="F121" t="str">
            <v>United States - 2022 - 2.5 GHz</v>
          </cell>
          <cell r="K121">
            <v>10</v>
          </cell>
          <cell r="L121">
            <v>3653</v>
          </cell>
          <cell r="N121">
            <v>1.0702744546141948E-2</v>
          </cell>
          <cell r="Q121">
            <v>0.69364268070932922</v>
          </cell>
          <cell r="R121">
            <v>0.72880188613928132</v>
          </cell>
          <cell r="W121">
            <v>64342.117938376061</v>
          </cell>
          <cell r="X121">
            <v>3</v>
          </cell>
          <cell r="Y121">
            <v>36.433378045394221</v>
          </cell>
        </row>
        <row r="122">
          <cell r="A122">
            <v>41334</v>
          </cell>
          <cell r="B122" t="str">
            <v>Uruguay</v>
          </cell>
          <cell r="C122" t="str">
            <v>1.7-2.2 GHz</v>
          </cell>
          <cell r="D122" t="str">
            <v>1-3 GHz</v>
          </cell>
          <cell r="F122" t="str">
            <v>Uruguay - 2013 - 1.7-2.2 GHz</v>
          </cell>
          <cell r="K122">
            <v>20</v>
          </cell>
          <cell r="L122">
            <v>7305</v>
          </cell>
          <cell r="N122">
            <v>0.22718189527691829</v>
          </cell>
          <cell r="Q122">
            <v>0.96539717584551255</v>
          </cell>
          <cell r="R122">
            <v>0.61322845089931388</v>
          </cell>
          <cell r="W122">
            <v>16639.405475065061</v>
          </cell>
          <cell r="X122">
            <v>3</v>
          </cell>
          <cell r="Y122">
            <v>19.114026968346476</v>
          </cell>
        </row>
        <row r="123">
          <cell r="A123">
            <v>41334</v>
          </cell>
          <cell r="B123" t="str">
            <v>Uruguay</v>
          </cell>
          <cell r="C123" t="str">
            <v>1900 MHz</v>
          </cell>
          <cell r="D123" t="str">
            <v>1-3 GHz</v>
          </cell>
          <cell r="F123" t="str">
            <v>Uruguay - 2013 - 1900 MHz</v>
          </cell>
          <cell r="K123">
            <v>13.1</v>
          </cell>
          <cell r="L123">
            <v>4777</v>
          </cell>
          <cell r="N123">
            <v>0.23465498393734324</v>
          </cell>
          <cell r="Q123">
            <v>0.96539717584551255</v>
          </cell>
          <cell r="R123">
            <v>0.61322845089931388</v>
          </cell>
          <cell r="W123">
            <v>16639.405475065061</v>
          </cell>
          <cell r="X123">
            <v>3</v>
          </cell>
          <cell r="Y123">
            <v>19.114026968346476</v>
          </cell>
        </row>
        <row r="124">
          <cell r="A124">
            <v>42979</v>
          </cell>
          <cell r="B124" t="str">
            <v>Uruguay</v>
          </cell>
          <cell r="C124" t="str">
            <v>1.7-2.2 GHz</v>
          </cell>
          <cell r="D124" t="str">
            <v>1-3 GHz</v>
          </cell>
          <cell r="F124" t="str">
            <v>Uruguay - 2017 - 1.7-2.2 GHz</v>
          </cell>
          <cell r="K124">
            <v>20</v>
          </cell>
          <cell r="L124">
            <v>7305</v>
          </cell>
          <cell r="N124">
            <v>0.29512123285124298</v>
          </cell>
          <cell r="Q124">
            <v>0.76642560628327594</v>
          </cell>
          <cell r="R124">
            <v>0.55001795329991943</v>
          </cell>
          <cell r="W124">
            <v>17611.603668106371</v>
          </cell>
          <cell r="X124">
            <v>3</v>
          </cell>
          <cell r="Y124">
            <v>19.360290252542566</v>
          </cell>
        </row>
        <row r="125">
          <cell r="A125">
            <v>42979</v>
          </cell>
          <cell r="B125" t="str">
            <v>Uruguay</v>
          </cell>
          <cell r="C125" t="str">
            <v>2.1 GHz</v>
          </cell>
          <cell r="D125" t="str">
            <v>1-3 GHz</v>
          </cell>
          <cell r="F125" t="str">
            <v>Uruguay - 2017 - 2.1 GHz</v>
          </cell>
          <cell r="K125">
            <v>20</v>
          </cell>
          <cell r="L125">
            <v>7305</v>
          </cell>
          <cell r="N125">
            <v>6.6402277391529665E-2</v>
          </cell>
          <cell r="Q125">
            <v>0.76642560628327594</v>
          </cell>
          <cell r="R125">
            <v>0.55001795329991943</v>
          </cell>
          <cell r="W125">
            <v>17611.603668106371</v>
          </cell>
          <cell r="X125">
            <v>3</v>
          </cell>
          <cell r="Y125">
            <v>19.360290252542566</v>
          </cell>
        </row>
        <row r="126">
          <cell r="A126">
            <v>43770</v>
          </cell>
          <cell r="B126" t="str">
            <v>Uruguay</v>
          </cell>
          <cell r="C126" t="str">
            <v>1.7-2.2 GHz</v>
          </cell>
          <cell r="D126" t="str">
            <v>1-3 GHz</v>
          </cell>
          <cell r="F126" t="str">
            <v>Uruguay - 2019 - 1.7-2.2 GHz</v>
          </cell>
          <cell r="K126">
            <v>25.2</v>
          </cell>
          <cell r="L126">
            <v>9222</v>
          </cell>
          <cell r="N126">
            <v>0.22076965600555279</v>
          </cell>
          <cell r="Q126">
            <v>0.69516541584211222</v>
          </cell>
          <cell r="R126">
            <v>0.48681669976375036</v>
          </cell>
          <cell r="W126">
            <v>17758.438425348486</v>
          </cell>
          <cell r="X126">
            <v>3</v>
          </cell>
          <cell r="Y126">
            <v>19.410387384298936</v>
          </cell>
        </row>
        <row r="127">
          <cell r="A127">
            <v>43770</v>
          </cell>
          <cell r="B127" t="str">
            <v>Uruguay</v>
          </cell>
          <cell r="C127" t="str">
            <v>2.6 GHz</v>
          </cell>
          <cell r="D127" t="str">
            <v>1-3 GHz</v>
          </cell>
          <cell r="F127" t="str">
            <v>Uruguay - 2019 - 2.6 GHz</v>
          </cell>
          <cell r="K127">
            <v>25</v>
          </cell>
          <cell r="L127">
            <v>9120</v>
          </cell>
          <cell r="N127">
            <v>0.18552010092999954</v>
          </cell>
          <cell r="Q127">
            <v>0.69516541584211222</v>
          </cell>
          <cell r="R127">
            <v>0.48681669976375036</v>
          </cell>
          <cell r="W127">
            <v>17758.438425348486</v>
          </cell>
          <cell r="X127">
            <v>3</v>
          </cell>
          <cell r="Y127">
            <v>19.410387384298936</v>
          </cell>
        </row>
        <row r="128">
          <cell r="A128">
            <v>45047</v>
          </cell>
          <cell r="B128" t="str">
            <v>Uruguay</v>
          </cell>
          <cell r="C128" t="str">
            <v>3.5 GHz</v>
          </cell>
          <cell r="D128" t="str">
            <v>3.4-3.8 GHz</v>
          </cell>
          <cell r="F128" t="str">
            <v>Uruguay - 2023 - 3.5 GHz</v>
          </cell>
          <cell r="K128">
            <v>25</v>
          </cell>
          <cell r="L128">
            <v>9132</v>
          </cell>
          <cell r="N128">
            <v>8.1940658327155552E-2</v>
          </cell>
          <cell r="Q128">
            <v>0.66436748320585992</v>
          </cell>
          <cell r="R128">
            <v>0.47599602784733619</v>
          </cell>
          <cell r="W128">
            <v>18295.90667647422</v>
          </cell>
          <cell r="X128">
            <v>3</v>
          </cell>
          <cell r="Y128">
            <v>19.358250485658786</v>
          </cell>
        </row>
        <row r="129">
          <cell r="Q129" t="str">
            <v/>
          </cell>
          <cell r="R129" t="str">
            <v/>
          </cell>
          <cell r="W129" t="str">
            <v/>
          </cell>
          <cell r="Y129" t="str">
            <v/>
          </cell>
        </row>
        <row r="130">
          <cell r="Q130" t="str">
            <v/>
          </cell>
          <cell r="R130" t="str">
            <v/>
          </cell>
          <cell r="W130" t="str">
            <v/>
          </cell>
          <cell r="Y130" t="str">
            <v/>
          </cell>
        </row>
        <row r="131">
          <cell r="Q131" t="str">
            <v/>
          </cell>
          <cell r="R131" t="str">
            <v/>
          </cell>
          <cell r="W131" t="str">
            <v/>
          </cell>
          <cell r="Y131" t="str">
            <v/>
          </cell>
        </row>
        <row r="132">
          <cell r="Q132" t="str">
            <v/>
          </cell>
          <cell r="R132" t="str">
            <v/>
          </cell>
          <cell r="W132" t="str">
            <v/>
          </cell>
          <cell r="Y132" t="str">
            <v/>
          </cell>
        </row>
        <row r="133">
          <cell r="Q133" t="str">
            <v/>
          </cell>
          <cell r="R133" t="str">
            <v/>
          </cell>
          <cell r="W133" t="str">
            <v/>
          </cell>
          <cell r="Y133" t="str">
            <v/>
          </cell>
        </row>
        <row r="134">
          <cell r="Q134" t="str">
            <v/>
          </cell>
          <cell r="R134" t="str">
            <v/>
          </cell>
          <cell r="W134" t="str">
            <v/>
          </cell>
          <cell r="Y134" t="str">
            <v/>
          </cell>
        </row>
        <row r="135">
          <cell r="Q135" t="str">
            <v/>
          </cell>
          <cell r="R135" t="str">
            <v/>
          </cell>
          <cell r="W135" t="str">
            <v/>
          </cell>
          <cell r="Y135" t="str">
            <v/>
          </cell>
        </row>
        <row r="136">
          <cell r="Q136" t="str">
            <v/>
          </cell>
          <cell r="R136" t="str">
            <v/>
          </cell>
          <cell r="W136" t="str">
            <v/>
          </cell>
          <cell r="Y136" t="str">
            <v/>
          </cell>
        </row>
        <row r="137">
          <cell r="Q137" t="str">
            <v/>
          </cell>
          <cell r="R137" t="str">
            <v/>
          </cell>
          <cell r="W137" t="str">
            <v/>
          </cell>
          <cell r="Y137" t="str">
            <v/>
          </cell>
        </row>
        <row r="138">
          <cell r="Q138" t="str">
            <v/>
          </cell>
          <cell r="R138" t="str">
            <v/>
          </cell>
          <cell r="W138" t="str">
            <v/>
          </cell>
          <cell r="Y138" t="str">
            <v/>
          </cell>
        </row>
        <row r="139">
          <cell r="Q139" t="str">
            <v/>
          </cell>
          <cell r="R139" t="str">
            <v/>
          </cell>
          <cell r="W139" t="str">
            <v/>
          </cell>
          <cell r="Y139" t="str">
            <v/>
          </cell>
        </row>
        <row r="140">
          <cell r="Q140" t="str">
            <v/>
          </cell>
          <cell r="R140" t="str">
            <v/>
          </cell>
          <cell r="W140" t="str">
            <v/>
          </cell>
          <cell r="Y140" t="str">
            <v/>
          </cell>
        </row>
        <row r="141">
          <cell r="Q141" t="str">
            <v/>
          </cell>
          <cell r="R141" t="str">
            <v/>
          </cell>
          <cell r="W141" t="str">
            <v/>
          </cell>
          <cell r="Y141" t="str">
            <v/>
          </cell>
        </row>
        <row r="142">
          <cell r="Q142" t="str">
            <v/>
          </cell>
          <cell r="R142" t="str">
            <v/>
          </cell>
          <cell r="W142" t="str">
            <v/>
          </cell>
          <cell r="Y142" t="str">
            <v/>
          </cell>
        </row>
        <row r="143">
          <cell r="Q143" t="str">
            <v/>
          </cell>
          <cell r="R143" t="str">
            <v/>
          </cell>
          <cell r="W143" t="str">
            <v/>
          </cell>
          <cell r="Y143" t="str">
            <v/>
          </cell>
        </row>
        <row r="144">
          <cell r="Q144" t="str">
            <v/>
          </cell>
          <cell r="R144" t="str">
            <v/>
          </cell>
          <cell r="W144" t="str">
            <v/>
          </cell>
          <cell r="Y144" t="str">
            <v/>
          </cell>
        </row>
        <row r="145">
          <cell r="Q145" t="str">
            <v/>
          </cell>
          <cell r="R145" t="str">
            <v/>
          </cell>
          <cell r="W145" t="str">
            <v/>
          </cell>
          <cell r="Y145" t="str">
            <v/>
          </cell>
        </row>
        <row r="146">
          <cell r="Q146" t="str">
            <v/>
          </cell>
          <cell r="R146" t="str">
            <v/>
          </cell>
          <cell r="W146" t="str">
            <v/>
          </cell>
          <cell r="Y146" t="str">
            <v/>
          </cell>
        </row>
      </sheetData>
      <sheetData sheetId="3"/>
      <sheetData sheetId="4"/>
      <sheetData sheetId="5">
        <row r="1">
          <cell r="A1" t="str">
            <v>Year</v>
          </cell>
          <cell r="B1" t="str">
            <v>Real GDP per capita (US$)</v>
          </cell>
          <cell r="C1" t="str">
            <v># of MNOs</v>
          </cell>
          <cell r="D1" t="str">
            <v>Population density</v>
          </cell>
        </row>
        <row r="2">
          <cell r="A2">
            <v>2001</v>
          </cell>
          <cell r="B2">
            <v>46191.314236628947</v>
          </cell>
          <cell r="C2">
            <v>3</v>
          </cell>
          <cell r="D2">
            <v>2.5089753068742433</v>
          </cell>
        </row>
        <row r="3">
          <cell r="A3">
            <v>2002</v>
          </cell>
          <cell r="B3">
            <v>47486.2783216389</v>
          </cell>
          <cell r="C3">
            <v>3</v>
          </cell>
          <cell r="D3">
            <v>2.5376788201450085</v>
          </cell>
        </row>
        <row r="4">
          <cell r="A4">
            <v>2003</v>
          </cell>
          <cell r="B4">
            <v>48394.126947809484</v>
          </cell>
          <cell r="C4">
            <v>3</v>
          </cell>
          <cell r="D4">
            <v>2.5670355232157038</v>
          </cell>
        </row>
        <row r="5">
          <cell r="A5">
            <v>2004</v>
          </cell>
          <cell r="B5">
            <v>49902.018702253583</v>
          </cell>
          <cell r="C5">
            <v>3</v>
          </cell>
          <cell r="D5">
            <v>2.5946294729443005</v>
          </cell>
        </row>
        <row r="6">
          <cell r="A6">
            <v>2005</v>
          </cell>
          <cell r="B6">
            <v>50853.197672752896</v>
          </cell>
          <cell r="C6">
            <v>3</v>
          </cell>
          <cell r="D6">
            <v>2.6264066750842847</v>
          </cell>
        </row>
        <row r="7">
          <cell r="A7">
            <v>2006</v>
          </cell>
          <cell r="B7">
            <v>51553.968596699102</v>
          </cell>
          <cell r="C7">
            <v>3</v>
          </cell>
          <cell r="D7">
            <v>2.6620889577340119</v>
          </cell>
        </row>
        <row r="8">
          <cell r="A8">
            <v>2007</v>
          </cell>
          <cell r="B8">
            <v>52531.761120108356</v>
          </cell>
          <cell r="C8">
            <v>3</v>
          </cell>
          <cell r="D8">
            <v>2.7111180245499393</v>
          </cell>
        </row>
        <row r="9">
          <cell r="A9">
            <v>2008</v>
          </cell>
          <cell r="B9">
            <v>53336.101215700772</v>
          </cell>
          <cell r="C9">
            <v>3</v>
          </cell>
          <cell r="D9">
            <v>2.7659944287518061</v>
          </cell>
        </row>
        <row r="10">
          <cell r="A10">
            <v>2009</v>
          </cell>
          <cell r="B10">
            <v>53237.00776423121</v>
          </cell>
          <cell r="C10">
            <v>3</v>
          </cell>
          <cell r="D10">
            <v>2.823588378480403</v>
          </cell>
        </row>
        <row r="11">
          <cell r="A11">
            <v>2010</v>
          </cell>
          <cell r="B11">
            <v>53578.812504975904</v>
          </cell>
          <cell r="C11">
            <v>3</v>
          </cell>
          <cell r="D11">
            <v>2.867858584017807</v>
          </cell>
        </row>
        <row r="12">
          <cell r="A12">
            <v>2011</v>
          </cell>
          <cell r="B12">
            <v>54111.357240335987</v>
          </cell>
          <cell r="C12">
            <v>3</v>
          </cell>
          <cell r="D12">
            <v>2.9079864103198263</v>
          </cell>
        </row>
        <row r="13">
          <cell r="A13">
            <v>2012</v>
          </cell>
          <cell r="B13">
            <v>55257.573928736187</v>
          </cell>
          <cell r="C13">
            <v>3</v>
          </cell>
          <cell r="D13">
            <v>2.9592003696809548</v>
          </cell>
        </row>
        <row r="14">
          <cell r="A14">
            <v>2013</v>
          </cell>
          <cell r="B14">
            <v>55728.017403571932</v>
          </cell>
          <cell r="C14">
            <v>3</v>
          </cell>
          <cell r="D14">
            <v>3.0105735261575308</v>
          </cell>
        </row>
        <row r="15">
          <cell r="A15">
            <v>2014</v>
          </cell>
          <cell r="B15">
            <v>56327.853306327721</v>
          </cell>
          <cell r="C15">
            <v>3</v>
          </cell>
          <cell r="D15">
            <v>3.0558147950483581</v>
          </cell>
        </row>
        <row r="16">
          <cell r="A16">
            <v>2015</v>
          </cell>
          <cell r="B16">
            <v>56739.02653465933</v>
          </cell>
          <cell r="C16">
            <v>3</v>
          </cell>
          <cell r="D16">
            <v>3.1001125964880307</v>
          </cell>
        </row>
        <row r="17">
          <cell r="A17">
            <v>2016</v>
          </cell>
          <cell r="B17">
            <v>57401.066226893934</v>
          </cell>
          <cell r="C17">
            <v>3</v>
          </cell>
          <cell r="D17">
            <v>3.1449355305888442</v>
          </cell>
        </row>
        <row r="18">
          <cell r="A18">
            <v>2017</v>
          </cell>
          <cell r="B18">
            <v>57750.64822216882</v>
          </cell>
          <cell r="C18">
            <v>3</v>
          </cell>
          <cell r="D18">
            <v>3.1971560136349098</v>
          </cell>
        </row>
        <row r="19">
          <cell r="A19">
            <v>2018</v>
          </cell>
          <cell r="B19">
            <v>58530.782169711711</v>
          </cell>
          <cell r="C19">
            <v>3</v>
          </cell>
          <cell r="D19">
            <v>3.2453449158998549</v>
          </cell>
        </row>
        <row r="20">
          <cell r="A20">
            <v>2019</v>
          </cell>
          <cell r="B20">
            <v>58924.733646241955</v>
          </cell>
          <cell r="C20">
            <v>3</v>
          </cell>
          <cell r="D20">
            <v>3.2936505625310386</v>
          </cell>
        </row>
        <row r="21">
          <cell r="A21">
            <v>2020</v>
          </cell>
          <cell r="B21">
            <v>58132.798523626036</v>
          </cell>
          <cell r="C21">
            <v>3</v>
          </cell>
          <cell r="D21">
            <v>3.3345269513079789</v>
          </cell>
        </row>
        <row r="22">
          <cell r="A22">
            <v>2021</v>
          </cell>
          <cell r="B22">
            <v>59276.503107196957</v>
          </cell>
          <cell r="C22">
            <v>3</v>
          </cell>
          <cell r="D22">
            <v>3.3392284471439231</v>
          </cell>
        </row>
        <row r="23">
          <cell r="A23">
            <v>2022</v>
          </cell>
          <cell r="B23">
            <v>61009.807714740316</v>
          </cell>
          <cell r="C23">
            <v>3</v>
          </cell>
          <cell r="D23">
            <v>3.3819983567385421</v>
          </cell>
        </row>
        <row r="24">
          <cell r="A24">
            <v>2023</v>
          </cell>
          <cell r="B24">
            <v>61583.918893530448</v>
          </cell>
          <cell r="C24">
            <v>3</v>
          </cell>
          <cell r="D24">
            <v>3.4657928606529884</v>
          </cell>
        </row>
      </sheetData>
      <sheetData sheetId="6"/>
      <sheetData sheetId="7">
        <row r="2">
          <cell r="B2" t="str">
            <v>Year</v>
          </cell>
        </row>
      </sheetData>
      <sheetData sheetId="8">
        <row r="1">
          <cell r="AM1" t="str">
            <v>MSR/MHz/pop
3-year moving avg
2025 base</v>
          </cell>
        </row>
        <row r="2">
          <cell r="B2" t="str">
            <v>Year</v>
          </cell>
          <cell r="AM2" t="str">
            <v>Unweighted</v>
          </cell>
        </row>
        <row r="3">
          <cell r="B3">
            <v>2005</v>
          </cell>
          <cell r="AM3" t="str">
            <v>N/A</v>
          </cell>
        </row>
        <row r="4">
          <cell r="B4">
            <v>2006</v>
          </cell>
          <cell r="AM4" t="str">
            <v>N/A</v>
          </cell>
        </row>
        <row r="5">
          <cell r="B5">
            <v>2007</v>
          </cell>
          <cell r="AM5">
            <v>1.6931818851708003</v>
          </cell>
        </row>
        <row r="6">
          <cell r="B6">
            <v>2008</v>
          </cell>
          <cell r="AM6">
            <v>1.8060951389935829</v>
          </cell>
        </row>
        <row r="7">
          <cell r="B7">
            <v>2009</v>
          </cell>
          <cell r="AM7">
            <v>1.9364224853580514</v>
          </cell>
        </row>
        <row r="8">
          <cell r="B8">
            <v>2010</v>
          </cell>
          <cell r="AM8">
            <v>2.0815504760424952</v>
          </cell>
        </row>
        <row r="9">
          <cell r="B9">
            <v>2011</v>
          </cell>
          <cell r="AM9">
            <v>2.18960713287359</v>
          </cell>
        </row>
        <row r="10">
          <cell r="B10">
            <v>2012</v>
          </cell>
          <cell r="AM10">
            <v>2.2358856581749236</v>
          </cell>
        </row>
        <row r="11">
          <cell r="B11">
            <v>2013</v>
          </cell>
          <cell r="AM11">
            <v>2.1942719407260389</v>
          </cell>
        </row>
        <row r="12">
          <cell r="B12">
            <v>2014</v>
          </cell>
          <cell r="AM12">
            <v>2.1337199562248221</v>
          </cell>
        </row>
        <row r="13">
          <cell r="B13">
            <v>2015</v>
          </cell>
          <cell r="AM13">
            <v>1.9310164554001659</v>
          </cell>
        </row>
        <row r="14">
          <cell r="B14">
            <v>2016</v>
          </cell>
          <cell r="AM14">
            <v>1.7249055942601701</v>
          </cell>
        </row>
        <row r="15">
          <cell r="B15">
            <v>2017</v>
          </cell>
          <cell r="AM15">
            <v>1.4945453451528885</v>
          </cell>
        </row>
        <row r="16">
          <cell r="B16">
            <v>2018</v>
          </cell>
          <cell r="AM16">
            <v>1.3913779435349118</v>
          </cell>
        </row>
        <row r="17">
          <cell r="B17">
            <v>2019</v>
          </cell>
          <cell r="AM17">
            <v>1.3030077488346661</v>
          </cell>
        </row>
        <row r="18">
          <cell r="B18">
            <v>2020</v>
          </cell>
          <cell r="AM18">
            <v>1.1693239238142432</v>
          </cell>
        </row>
        <row r="19">
          <cell r="B19">
            <v>2021</v>
          </cell>
          <cell r="AM19">
            <v>1.0643594534579426</v>
          </cell>
        </row>
        <row r="20">
          <cell r="B20">
            <v>2022</v>
          </cell>
          <cell r="AM20">
            <v>0.98735770414989998</v>
          </cell>
        </row>
        <row r="21">
          <cell r="B21">
            <v>2023</v>
          </cell>
          <cell r="AM21">
            <v>1.0040762671122119</v>
          </cell>
        </row>
        <row r="22">
          <cell r="B22">
            <v>2024</v>
          </cell>
          <cell r="AM22">
            <v>1.0069637517181789</v>
          </cell>
        </row>
        <row r="23">
          <cell r="B23">
            <v>2025</v>
          </cell>
          <cell r="AM23">
            <v>1</v>
          </cell>
        </row>
        <row r="24">
          <cell r="B24">
            <v>2026</v>
          </cell>
          <cell r="AM24">
            <v>0.97922558632874213</v>
          </cell>
        </row>
        <row r="25">
          <cell r="B25">
            <v>2027</v>
          </cell>
          <cell r="AM25">
            <v>0.98391990840560251</v>
          </cell>
        </row>
        <row r="26">
          <cell r="B26">
            <v>2028</v>
          </cell>
          <cell r="AM26">
            <v>0.98391990840560251</v>
          </cell>
        </row>
        <row r="27">
          <cell r="B27">
            <v>2029</v>
          </cell>
          <cell r="AM27">
            <v>0.98391990840560251</v>
          </cell>
        </row>
        <row r="28">
          <cell r="B28">
            <v>2030</v>
          </cell>
          <cell r="AM28">
            <v>0.98391990840560251</v>
          </cell>
        </row>
        <row r="29">
          <cell r="B29">
            <v>2031</v>
          </cell>
          <cell r="AM29">
            <v>0.98391990840560251</v>
          </cell>
        </row>
        <row r="30">
          <cell r="B30">
            <v>2032</v>
          </cell>
          <cell r="AM30">
            <v>0.98391990840560251</v>
          </cell>
        </row>
      </sheetData>
      <sheetData sheetId="9"/>
      <sheetData sheetId="10"/>
      <sheetData sheetId="11"/>
    </sheetDataSet>
  </externalBook>
</externalLink>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E44EE8-4ACD-4563-B335-4EFCD95EA24D}">
  <sheetPr>
    <tabColor theme="6" tint="0.79998168889431442"/>
  </sheetPr>
  <dimension ref="A1:F22"/>
  <sheetViews>
    <sheetView zoomScaleNormal="100" workbookViewId="0">
      <pane ySplit="2" topLeftCell="A3" activePane="bottomLeft" state="frozen"/>
      <selection pane="bottomLeft" sqref="A1:B1"/>
    </sheetView>
  </sheetViews>
  <sheetFormatPr defaultRowHeight="14.5" x14ac:dyDescent="0.35"/>
  <cols>
    <col min="1" max="1" width="40.6328125" style="20" customWidth="1"/>
    <col min="2" max="2" width="125.6328125" style="13" customWidth="1"/>
    <col min="3" max="3" width="14.81640625" style="13" customWidth="1"/>
    <col min="4" max="4" width="20.54296875" style="16" customWidth="1"/>
    <col min="5" max="5" width="21.7265625" style="3" customWidth="1"/>
    <col min="6" max="6" width="17.81640625" style="3" customWidth="1"/>
    <col min="7" max="7" width="17.81640625" customWidth="1"/>
    <col min="10" max="10" width="19.54296875" customWidth="1"/>
  </cols>
  <sheetData>
    <row r="1" spans="1:6" ht="36" customHeight="1" x14ac:dyDescent="0.35">
      <c r="A1" s="121" t="e" vm="1">
        <v>#VALUE!</v>
      </c>
      <c r="B1" s="121"/>
    </row>
    <row r="2" spans="1:6" x14ac:dyDescent="0.35">
      <c r="A2" s="72" t="s">
        <v>0</v>
      </c>
      <c r="B2" s="73" t="s">
        <v>1</v>
      </c>
      <c r="C2" s="7"/>
      <c r="D2" s="2"/>
      <c r="E2"/>
      <c r="F2"/>
    </row>
    <row r="3" spans="1:6" s="42" customFormat="1" x14ac:dyDescent="0.35">
      <c r="A3" s="69" t="s">
        <v>2</v>
      </c>
      <c r="B3" s="70" t="s">
        <v>180</v>
      </c>
      <c r="C3" s="56"/>
      <c r="D3" s="29"/>
    </row>
    <row r="4" spans="1:6" s="42" customFormat="1" ht="29" x14ac:dyDescent="0.35">
      <c r="A4" s="69" t="s">
        <v>3</v>
      </c>
      <c r="B4" s="70" t="s">
        <v>4</v>
      </c>
      <c r="C4" s="56"/>
      <c r="D4" s="29"/>
    </row>
    <row r="5" spans="1:6" s="42" customFormat="1" x14ac:dyDescent="0.35">
      <c r="A5" s="69" t="s">
        <v>5</v>
      </c>
      <c r="B5" s="70" t="s">
        <v>181</v>
      </c>
      <c r="C5" s="56"/>
      <c r="D5" s="29"/>
    </row>
    <row r="6" spans="1:6" s="42" customFormat="1" x14ac:dyDescent="0.35">
      <c r="A6" s="69" t="s">
        <v>6</v>
      </c>
      <c r="B6" s="70" t="s">
        <v>182</v>
      </c>
      <c r="C6" s="56"/>
      <c r="D6" s="29"/>
    </row>
    <row r="7" spans="1:6" s="42" customFormat="1" x14ac:dyDescent="0.35">
      <c r="A7" s="69" t="s">
        <v>7</v>
      </c>
      <c r="B7" s="70" t="s">
        <v>183</v>
      </c>
      <c r="C7" s="56"/>
      <c r="D7" s="29"/>
    </row>
    <row r="8" spans="1:6" s="42" customFormat="1" ht="87" x14ac:dyDescent="0.35">
      <c r="A8" s="69" t="s">
        <v>204</v>
      </c>
      <c r="B8" s="70" t="s">
        <v>205</v>
      </c>
      <c r="C8" s="56"/>
      <c r="D8" s="29"/>
    </row>
    <row r="9" spans="1:6" s="42" customFormat="1" ht="43.5" x14ac:dyDescent="0.35">
      <c r="A9" s="69" t="s">
        <v>8</v>
      </c>
      <c r="B9" s="70" t="s">
        <v>184</v>
      </c>
      <c r="C9" s="56"/>
      <c r="D9" s="29"/>
    </row>
    <row r="10" spans="1:6" s="42" customFormat="1" x14ac:dyDescent="0.35">
      <c r="A10" s="71" t="s">
        <v>9</v>
      </c>
      <c r="B10" s="70" t="s">
        <v>185</v>
      </c>
      <c r="C10" s="56"/>
      <c r="D10" s="29"/>
    </row>
    <row r="11" spans="1:6" s="42" customFormat="1" x14ac:dyDescent="0.35">
      <c r="A11" s="71" t="s">
        <v>186</v>
      </c>
      <c r="B11" s="70" t="s">
        <v>187</v>
      </c>
      <c r="C11" s="56"/>
      <c r="D11" s="29"/>
    </row>
    <row r="12" spans="1:6" s="42" customFormat="1" x14ac:dyDescent="0.35">
      <c r="A12" s="71" t="s">
        <v>188</v>
      </c>
      <c r="B12" s="70" t="s">
        <v>189</v>
      </c>
      <c r="C12" s="56"/>
      <c r="D12" s="29"/>
    </row>
    <row r="13" spans="1:6" s="42" customFormat="1" x14ac:dyDescent="0.35">
      <c r="A13" s="71" t="s">
        <v>190</v>
      </c>
      <c r="B13" s="70" t="s">
        <v>191</v>
      </c>
      <c r="C13" s="56"/>
      <c r="D13" s="29"/>
    </row>
    <row r="14" spans="1:6" s="42" customFormat="1" ht="43.5" x14ac:dyDescent="0.35">
      <c r="A14" s="71" t="s">
        <v>10</v>
      </c>
      <c r="B14" s="70" t="s">
        <v>192</v>
      </c>
      <c r="C14" s="56"/>
      <c r="D14" s="29"/>
    </row>
    <row r="15" spans="1:6" s="42" customFormat="1" ht="43.5" x14ac:dyDescent="0.35">
      <c r="A15" s="71" t="s">
        <v>11</v>
      </c>
      <c r="B15" s="70" t="s">
        <v>193</v>
      </c>
      <c r="C15" s="56"/>
      <c r="D15" s="29"/>
    </row>
    <row r="16" spans="1:6" s="42" customFormat="1" ht="29" x14ac:dyDescent="0.35">
      <c r="A16" s="71" t="s">
        <v>12</v>
      </c>
      <c r="B16" s="70" t="s">
        <v>194</v>
      </c>
      <c r="C16" s="56"/>
      <c r="D16" s="29"/>
    </row>
    <row r="17" spans="1:6" s="42" customFormat="1" ht="43.5" x14ac:dyDescent="0.35">
      <c r="A17" s="71" t="s">
        <v>13</v>
      </c>
      <c r="B17" s="70" t="s">
        <v>203</v>
      </c>
      <c r="C17" s="56"/>
      <c r="D17" s="29"/>
    </row>
    <row r="18" spans="1:6" s="42" customFormat="1" ht="29" x14ac:dyDescent="0.35">
      <c r="A18" s="71" t="s">
        <v>14</v>
      </c>
      <c r="B18" s="70" t="s">
        <v>195</v>
      </c>
      <c r="C18" s="56"/>
      <c r="D18" s="29"/>
    </row>
    <row r="19" spans="1:6" x14ac:dyDescent="0.35">
      <c r="A19" s="71" t="s">
        <v>196</v>
      </c>
      <c r="B19" s="70" t="s">
        <v>197</v>
      </c>
      <c r="C19" s="7"/>
      <c r="D19" s="2"/>
      <c r="E19"/>
      <c r="F19"/>
    </row>
    <row r="20" spans="1:6" x14ac:dyDescent="0.35">
      <c r="A20" s="71" t="s">
        <v>198</v>
      </c>
      <c r="B20" s="70" t="s">
        <v>199</v>
      </c>
      <c r="C20" s="7"/>
      <c r="D20" s="2"/>
      <c r="E20"/>
      <c r="F20"/>
    </row>
    <row r="21" spans="1:6" ht="29" x14ac:dyDescent="0.35">
      <c r="A21" s="71" t="s">
        <v>15</v>
      </c>
      <c r="B21" s="70" t="s">
        <v>200</v>
      </c>
      <c r="C21" s="7"/>
      <c r="D21" s="2"/>
      <c r="E21"/>
      <c r="F21"/>
    </row>
    <row r="22" spans="1:6" x14ac:dyDescent="0.35">
      <c r="A22" s="50"/>
      <c r="B22" s="7"/>
      <c r="C22" s="7"/>
      <c r="D22" s="2"/>
      <c r="E22"/>
      <c r="F22"/>
    </row>
  </sheetData>
  <sheetProtection sort="0" autoFilter="0"/>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6D12A-6A7B-4806-9094-B2DE7FF296C0}">
  <sheetPr>
    <tabColor theme="7" tint="0.79998168889431442"/>
  </sheetPr>
  <dimension ref="A1:C3"/>
  <sheetViews>
    <sheetView workbookViewId="0">
      <pane ySplit="1" topLeftCell="A2" activePane="bottomLeft" state="frozen"/>
      <selection activeCell="B8" sqref="B8"/>
      <selection pane="bottomLeft"/>
    </sheetView>
  </sheetViews>
  <sheetFormatPr defaultRowHeight="14.5" x14ac:dyDescent="0.35"/>
  <cols>
    <col min="1" max="1" width="19" style="74" customWidth="1"/>
    <col min="2" max="2" width="17.26953125" style="74" customWidth="1"/>
    <col min="3" max="3" width="7.90625" style="74" customWidth="1"/>
  </cols>
  <sheetData>
    <row r="1" spans="1:3" s="1" customFormat="1" x14ac:dyDescent="0.35">
      <c r="A1" s="75" t="s">
        <v>178</v>
      </c>
      <c r="B1" s="75" t="s">
        <v>17</v>
      </c>
      <c r="C1" s="76" t="s">
        <v>18</v>
      </c>
    </row>
    <row r="2" spans="1:3" x14ac:dyDescent="0.35">
      <c r="A2" s="74" t="s">
        <v>19</v>
      </c>
      <c r="B2" s="74" t="s">
        <v>20</v>
      </c>
      <c r="C2" s="77">
        <v>0.39</v>
      </c>
    </row>
    <row r="3" spans="1:3" x14ac:dyDescent="0.35">
      <c r="A3" s="74" t="s">
        <v>19</v>
      </c>
      <c r="B3" s="74" t="s">
        <v>21</v>
      </c>
      <c r="C3" s="77">
        <v>0.61</v>
      </c>
    </row>
  </sheetData>
  <sheetProtection algorithmName="SHA-512" hashValue="tSSB8eqL4XC1nMrGkO5Cmu7MFVpQglcj8OfxWGZFu5gYQRXXGJ4VmL1W3Ga6sRCFpDJWKHucA8MmScg5x306GA==" saltValue="NvZ04ZVzuvGJCAnu00z+N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97CC0-E640-4712-A5B9-2E0A9D44E971}">
  <sheetPr>
    <tabColor theme="7" tint="0.79998168889431442"/>
  </sheetPr>
  <dimension ref="A1:B4"/>
  <sheetViews>
    <sheetView workbookViewId="0">
      <pane ySplit="1" topLeftCell="A2" activePane="bottomLeft" state="frozen"/>
      <selection activeCell="B8" sqref="B8"/>
      <selection pane="bottomLeft"/>
    </sheetView>
  </sheetViews>
  <sheetFormatPr defaultRowHeight="14.5" x14ac:dyDescent="0.35"/>
  <cols>
    <col min="1" max="1" width="32.54296875" style="74" customWidth="1"/>
    <col min="2" max="2" width="10.453125" style="74" customWidth="1"/>
  </cols>
  <sheetData>
    <row r="1" spans="1:2" x14ac:dyDescent="0.35">
      <c r="A1" s="75" t="s">
        <v>22</v>
      </c>
      <c r="B1" s="76" t="s">
        <v>23</v>
      </c>
    </row>
    <row r="2" spans="1:2" x14ac:dyDescent="0.35">
      <c r="A2" s="74" t="s">
        <v>24</v>
      </c>
      <c r="B2" s="77">
        <v>0.7</v>
      </c>
    </row>
    <row r="3" spans="1:2" x14ac:dyDescent="0.35">
      <c r="A3" s="74" t="s">
        <v>25</v>
      </c>
      <c r="B3" s="77">
        <v>1</v>
      </c>
    </row>
    <row r="4" spans="1:2" x14ac:dyDescent="0.35">
      <c r="A4" s="74" t="s">
        <v>26</v>
      </c>
      <c r="B4" s="77">
        <v>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F487F-5B10-4F0A-905B-F77A0EEB5226}">
  <sheetPr>
    <tabColor theme="7" tint="0.79998168889431442"/>
  </sheetPr>
  <dimension ref="A1:C3"/>
  <sheetViews>
    <sheetView workbookViewId="0">
      <pane ySplit="1" topLeftCell="A2" activePane="bottomLeft" state="frozen"/>
      <selection activeCell="B8" sqref="B8"/>
      <selection pane="bottomLeft" activeCell="C3" sqref="C3"/>
    </sheetView>
  </sheetViews>
  <sheetFormatPr defaultRowHeight="14.5" x14ac:dyDescent="0.35"/>
  <cols>
    <col min="1" max="1" width="20.453125" style="74" customWidth="1"/>
    <col min="2" max="2" width="21.1796875" style="74" bestFit="1" customWidth="1"/>
    <col min="3" max="3" width="14.453125" style="74" customWidth="1"/>
  </cols>
  <sheetData>
    <row r="1" spans="1:3" x14ac:dyDescent="0.35">
      <c r="A1" s="75" t="s">
        <v>27</v>
      </c>
      <c r="B1" s="75" t="s">
        <v>28</v>
      </c>
      <c r="C1" s="76" t="s">
        <v>5</v>
      </c>
    </row>
    <row r="2" spans="1:3" x14ac:dyDescent="0.35">
      <c r="A2" s="74" t="s">
        <v>29</v>
      </c>
      <c r="B2" s="74" t="s">
        <v>30</v>
      </c>
      <c r="C2" s="78">
        <v>8.4900000000000003E-2</v>
      </c>
    </row>
    <row r="3" spans="1:3" x14ac:dyDescent="0.35">
      <c r="A3" s="74" t="s">
        <v>29</v>
      </c>
      <c r="B3" s="74" t="s">
        <v>31</v>
      </c>
      <c r="C3" s="78">
        <v>2.2327921582387944E-4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413937-7A64-4181-AB74-A88C12857C62}">
  <sheetPr>
    <tabColor theme="7" tint="0.79998168889431442"/>
  </sheetPr>
  <dimension ref="A1:D3"/>
  <sheetViews>
    <sheetView workbookViewId="0">
      <pane ySplit="1" topLeftCell="A2" activePane="bottomLeft" state="frozen"/>
      <selection activeCell="B8" sqref="B8"/>
      <selection pane="bottomLeft" activeCell="D2" sqref="D2"/>
    </sheetView>
  </sheetViews>
  <sheetFormatPr defaultRowHeight="14.5" x14ac:dyDescent="0.35"/>
  <cols>
    <col min="1" max="1" width="13.81640625" customWidth="1"/>
    <col min="2" max="3" width="17.54296875" customWidth="1"/>
    <col min="4" max="4" width="15.453125" customWidth="1"/>
  </cols>
  <sheetData>
    <row r="1" spans="1:4" s="54" customFormat="1" x14ac:dyDescent="0.35">
      <c r="A1" s="79" t="s">
        <v>16</v>
      </c>
      <c r="B1" s="68" t="s">
        <v>33</v>
      </c>
      <c r="C1" s="68" t="s">
        <v>34</v>
      </c>
      <c r="D1" s="68" t="s">
        <v>35</v>
      </c>
    </row>
    <row r="2" spans="1:4" x14ac:dyDescent="0.35">
      <c r="A2" s="74" t="s">
        <v>19</v>
      </c>
      <c r="B2" s="80">
        <v>47831</v>
      </c>
      <c r="C2" s="80">
        <v>52614</v>
      </c>
      <c r="D2" s="81">
        <f>$C2-$B2+1</f>
        <v>4784</v>
      </c>
    </row>
    <row r="3" spans="1:4" x14ac:dyDescent="0.35">
      <c r="A3" s="74"/>
      <c r="B3" s="80"/>
      <c r="C3" s="80"/>
      <c r="D3" s="8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524EA-2EC9-4EA6-AD43-F94BBAEF6558}">
  <sheetPr>
    <tabColor theme="7" tint="0.79998168889431442"/>
  </sheetPr>
  <dimension ref="A1:D76"/>
  <sheetViews>
    <sheetView workbookViewId="0">
      <pane ySplit="1" topLeftCell="A2" activePane="bottomLeft" state="frozen"/>
      <selection activeCell="B8" sqref="B8"/>
      <selection pane="bottomLeft"/>
    </sheetView>
  </sheetViews>
  <sheetFormatPr defaultRowHeight="14.5" x14ac:dyDescent="0.35"/>
  <cols>
    <col min="1" max="1" width="9" style="29" customWidth="1"/>
    <col min="2" max="2" width="29.36328125" style="36" customWidth="1"/>
    <col min="3" max="3" width="109.453125" style="36" customWidth="1"/>
    <col min="4" max="4" width="18.453125" style="39" customWidth="1"/>
  </cols>
  <sheetData>
    <row r="1" spans="1:4" x14ac:dyDescent="0.35">
      <c r="A1" s="82" t="s">
        <v>36</v>
      </c>
      <c r="B1" s="35" t="s">
        <v>37</v>
      </c>
      <c r="C1" s="35" t="s">
        <v>38</v>
      </c>
      <c r="D1" s="37" t="s">
        <v>39</v>
      </c>
    </row>
    <row r="2" spans="1:4" x14ac:dyDescent="0.35">
      <c r="A2" s="29">
        <v>2009</v>
      </c>
      <c r="B2" s="36" t="s">
        <v>24</v>
      </c>
      <c r="C2" s="36" t="s">
        <v>40</v>
      </c>
      <c r="D2" s="38">
        <v>53237.00776423121</v>
      </c>
    </row>
    <row r="3" spans="1:4" x14ac:dyDescent="0.35">
      <c r="A3" s="29">
        <v>2010</v>
      </c>
      <c r="B3" s="36" t="s">
        <v>24</v>
      </c>
      <c r="C3" s="36" t="s">
        <v>40</v>
      </c>
      <c r="D3" s="38">
        <v>53578.812504975904</v>
      </c>
    </row>
    <row r="4" spans="1:4" x14ac:dyDescent="0.35">
      <c r="A4" s="29">
        <v>2011</v>
      </c>
      <c r="B4" s="36" t="s">
        <v>24</v>
      </c>
      <c r="C4" s="36" t="s">
        <v>40</v>
      </c>
      <c r="D4" s="38">
        <v>54111.357240335987</v>
      </c>
    </row>
    <row r="5" spans="1:4" x14ac:dyDescent="0.35">
      <c r="A5" s="29">
        <v>2012</v>
      </c>
      <c r="B5" s="36" t="s">
        <v>24</v>
      </c>
      <c r="C5" s="36" t="s">
        <v>40</v>
      </c>
      <c r="D5" s="38">
        <v>55257.573928736187</v>
      </c>
    </row>
    <row r="6" spans="1:4" x14ac:dyDescent="0.35">
      <c r="A6" s="29">
        <v>2013</v>
      </c>
      <c r="B6" s="36" t="s">
        <v>24</v>
      </c>
      <c r="C6" s="36" t="s">
        <v>40</v>
      </c>
      <c r="D6" s="38">
        <v>55728.017403571932</v>
      </c>
    </row>
    <row r="7" spans="1:4" x14ac:dyDescent="0.35">
      <c r="A7" s="29">
        <v>2014</v>
      </c>
      <c r="B7" s="36" t="s">
        <v>24</v>
      </c>
      <c r="C7" s="36" t="s">
        <v>40</v>
      </c>
      <c r="D7" s="38">
        <v>56327.853306327721</v>
      </c>
    </row>
    <row r="8" spans="1:4" x14ac:dyDescent="0.35">
      <c r="A8" s="29">
        <v>2015</v>
      </c>
      <c r="B8" s="36" t="s">
        <v>24</v>
      </c>
      <c r="C8" s="36" t="s">
        <v>40</v>
      </c>
      <c r="D8" s="38">
        <v>56739.02653465933</v>
      </c>
    </row>
    <row r="9" spans="1:4" x14ac:dyDescent="0.35">
      <c r="A9" s="29">
        <v>2016</v>
      </c>
      <c r="B9" s="36" t="s">
        <v>24</v>
      </c>
      <c r="C9" s="36" t="s">
        <v>40</v>
      </c>
      <c r="D9" s="38">
        <v>57401.066226893934</v>
      </c>
    </row>
    <row r="10" spans="1:4" x14ac:dyDescent="0.35">
      <c r="A10" s="29">
        <v>2017</v>
      </c>
      <c r="B10" s="36" t="s">
        <v>24</v>
      </c>
      <c r="C10" s="36" t="s">
        <v>40</v>
      </c>
      <c r="D10" s="38">
        <v>57750.64822216882</v>
      </c>
    </row>
    <row r="11" spans="1:4" x14ac:dyDescent="0.35">
      <c r="A11" s="29">
        <v>2018</v>
      </c>
      <c r="B11" s="36" t="s">
        <v>24</v>
      </c>
      <c r="C11" s="36" t="s">
        <v>40</v>
      </c>
      <c r="D11" s="38">
        <v>58530.782169711711</v>
      </c>
    </row>
    <row r="12" spans="1:4" x14ac:dyDescent="0.35">
      <c r="A12" s="29">
        <v>2019</v>
      </c>
      <c r="B12" s="36" t="s">
        <v>24</v>
      </c>
      <c r="C12" s="36" t="s">
        <v>40</v>
      </c>
      <c r="D12" s="38">
        <v>58924.733646241955</v>
      </c>
    </row>
    <row r="13" spans="1:4" x14ac:dyDescent="0.35">
      <c r="A13" s="29">
        <v>2020</v>
      </c>
      <c r="B13" s="36" t="s">
        <v>24</v>
      </c>
      <c r="C13" s="36" t="s">
        <v>40</v>
      </c>
      <c r="D13" s="38">
        <v>58132.798523626036</v>
      </c>
    </row>
    <row r="14" spans="1:4" x14ac:dyDescent="0.35">
      <c r="A14" s="29">
        <v>2021</v>
      </c>
      <c r="B14" s="36" t="s">
        <v>24</v>
      </c>
      <c r="C14" s="36" t="s">
        <v>40</v>
      </c>
      <c r="D14" s="38">
        <v>59276.503107196957</v>
      </c>
    </row>
    <row r="15" spans="1:4" x14ac:dyDescent="0.35">
      <c r="A15" s="29">
        <v>2022</v>
      </c>
      <c r="B15" s="36" t="s">
        <v>24</v>
      </c>
      <c r="C15" s="36" t="s">
        <v>40</v>
      </c>
      <c r="D15" s="38">
        <v>61009.807714740316</v>
      </c>
    </row>
    <row r="16" spans="1:4" x14ac:dyDescent="0.35">
      <c r="A16" s="29">
        <v>2023</v>
      </c>
      <c r="B16" s="36" t="s">
        <v>24</v>
      </c>
      <c r="C16" s="36" t="s">
        <v>40</v>
      </c>
      <c r="D16" s="38">
        <v>61583.918893530448</v>
      </c>
    </row>
    <row r="17" spans="1:4" x14ac:dyDescent="0.35">
      <c r="A17" s="29">
        <v>2009</v>
      </c>
      <c r="B17" s="36" t="s">
        <v>25</v>
      </c>
      <c r="C17" s="36" t="s">
        <v>41</v>
      </c>
      <c r="D17" s="39">
        <v>3</v>
      </c>
    </row>
    <row r="18" spans="1:4" x14ac:dyDescent="0.35">
      <c r="A18" s="29">
        <v>2010</v>
      </c>
      <c r="B18" s="36" t="s">
        <v>25</v>
      </c>
      <c r="C18" s="36" t="s">
        <v>41</v>
      </c>
      <c r="D18" s="39">
        <v>3</v>
      </c>
    </row>
    <row r="19" spans="1:4" x14ac:dyDescent="0.35">
      <c r="A19" s="29">
        <v>2011</v>
      </c>
      <c r="B19" s="36" t="s">
        <v>25</v>
      </c>
      <c r="C19" s="36" t="s">
        <v>41</v>
      </c>
      <c r="D19" s="39">
        <v>3</v>
      </c>
    </row>
    <row r="20" spans="1:4" x14ac:dyDescent="0.35">
      <c r="A20" s="29">
        <v>2012</v>
      </c>
      <c r="B20" s="36" t="s">
        <v>25</v>
      </c>
      <c r="C20" s="36" t="s">
        <v>41</v>
      </c>
      <c r="D20" s="39">
        <v>3</v>
      </c>
    </row>
    <row r="21" spans="1:4" x14ac:dyDescent="0.35">
      <c r="A21" s="29">
        <v>2013</v>
      </c>
      <c r="B21" s="36" t="s">
        <v>25</v>
      </c>
      <c r="C21" s="36" t="s">
        <v>41</v>
      </c>
      <c r="D21" s="39">
        <v>3</v>
      </c>
    </row>
    <row r="22" spans="1:4" x14ac:dyDescent="0.35">
      <c r="A22" s="29">
        <v>2014</v>
      </c>
      <c r="B22" s="36" t="s">
        <v>25</v>
      </c>
      <c r="C22" s="36" t="s">
        <v>41</v>
      </c>
      <c r="D22" s="39">
        <v>3</v>
      </c>
    </row>
    <row r="23" spans="1:4" x14ac:dyDescent="0.35">
      <c r="A23" s="29">
        <v>2015</v>
      </c>
      <c r="B23" s="36" t="s">
        <v>25</v>
      </c>
      <c r="C23" s="36" t="s">
        <v>41</v>
      </c>
      <c r="D23" s="39">
        <v>3</v>
      </c>
    </row>
    <row r="24" spans="1:4" x14ac:dyDescent="0.35">
      <c r="A24" s="29">
        <v>2016</v>
      </c>
      <c r="B24" s="36" t="s">
        <v>25</v>
      </c>
      <c r="C24" s="36" t="s">
        <v>41</v>
      </c>
      <c r="D24" s="39">
        <v>3</v>
      </c>
    </row>
    <row r="25" spans="1:4" x14ac:dyDescent="0.35">
      <c r="A25" s="29">
        <v>2017</v>
      </c>
      <c r="B25" s="36" t="s">
        <v>25</v>
      </c>
      <c r="C25" s="36" t="s">
        <v>41</v>
      </c>
      <c r="D25" s="39">
        <v>3</v>
      </c>
    </row>
    <row r="26" spans="1:4" x14ac:dyDescent="0.35">
      <c r="A26" s="29">
        <v>2018</v>
      </c>
      <c r="B26" s="36" t="s">
        <v>25</v>
      </c>
      <c r="C26" s="36" t="s">
        <v>41</v>
      </c>
      <c r="D26" s="39">
        <v>3</v>
      </c>
    </row>
    <row r="27" spans="1:4" x14ac:dyDescent="0.35">
      <c r="A27" s="29">
        <v>2019</v>
      </c>
      <c r="B27" s="36" t="s">
        <v>25</v>
      </c>
      <c r="C27" s="36" t="s">
        <v>41</v>
      </c>
      <c r="D27" s="39">
        <v>3</v>
      </c>
    </row>
    <row r="28" spans="1:4" x14ac:dyDescent="0.35">
      <c r="A28" s="29">
        <v>2020</v>
      </c>
      <c r="B28" s="36" t="s">
        <v>25</v>
      </c>
      <c r="C28" s="36" t="s">
        <v>41</v>
      </c>
      <c r="D28" s="39">
        <v>3</v>
      </c>
    </row>
    <row r="29" spans="1:4" x14ac:dyDescent="0.35">
      <c r="A29" s="29">
        <v>2021</v>
      </c>
      <c r="B29" s="36" t="s">
        <v>25</v>
      </c>
      <c r="C29" s="36" t="s">
        <v>41</v>
      </c>
      <c r="D29" s="39">
        <v>3</v>
      </c>
    </row>
    <row r="30" spans="1:4" x14ac:dyDescent="0.35">
      <c r="A30" s="29">
        <v>2022</v>
      </c>
      <c r="B30" s="36" t="s">
        <v>25</v>
      </c>
      <c r="C30" s="36" t="s">
        <v>41</v>
      </c>
      <c r="D30" s="39">
        <v>3</v>
      </c>
    </row>
    <row r="31" spans="1:4" x14ac:dyDescent="0.35">
      <c r="A31" s="29">
        <v>2023</v>
      </c>
      <c r="B31" s="36" t="s">
        <v>25</v>
      </c>
      <c r="C31" s="36" t="s">
        <v>41</v>
      </c>
      <c r="D31" s="39">
        <v>3</v>
      </c>
    </row>
    <row r="32" spans="1:4" x14ac:dyDescent="0.35">
      <c r="A32" s="29">
        <v>2009</v>
      </c>
      <c r="B32" s="36" t="s">
        <v>26</v>
      </c>
      <c r="C32" s="36" t="s">
        <v>42</v>
      </c>
      <c r="D32" s="41">
        <v>2.823588378480403</v>
      </c>
    </row>
    <row r="33" spans="1:4" x14ac:dyDescent="0.35">
      <c r="A33" s="29">
        <v>2010</v>
      </c>
      <c r="B33" s="36" t="s">
        <v>26</v>
      </c>
      <c r="C33" s="36" t="s">
        <v>42</v>
      </c>
      <c r="D33" s="41">
        <v>2.867858584017807</v>
      </c>
    </row>
    <row r="34" spans="1:4" x14ac:dyDescent="0.35">
      <c r="A34" s="29">
        <v>2011</v>
      </c>
      <c r="B34" s="36" t="s">
        <v>26</v>
      </c>
      <c r="C34" s="36" t="s">
        <v>42</v>
      </c>
      <c r="D34" s="41">
        <v>2.9079864103198263</v>
      </c>
    </row>
    <row r="35" spans="1:4" x14ac:dyDescent="0.35">
      <c r="A35" s="29">
        <v>2012</v>
      </c>
      <c r="B35" s="36" t="s">
        <v>26</v>
      </c>
      <c r="C35" s="36" t="s">
        <v>42</v>
      </c>
      <c r="D35" s="41">
        <v>2.9592003696809548</v>
      </c>
    </row>
    <row r="36" spans="1:4" x14ac:dyDescent="0.35">
      <c r="A36" s="29">
        <v>2013</v>
      </c>
      <c r="B36" s="36" t="s">
        <v>26</v>
      </c>
      <c r="C36" s="36" t="s">
        <v>42</v>
      </c>
      <c r="D36" s="41">
        <v>3.0105735261575308</v>
      </c>
    </row>
    <row r="37" spans="1:4" x14ac:dyDescent="0.35">
      <c r="A37" s="29">
        <v>2014</v>
      </c>
      <c r="B37" s="36" t="s">
        <v>26</v>
      </c>
      <c r="C37" s="36" t="s">
        <v>42</v>
      </c>
      <c r="D37" s="41">
        <v>3.0558147950483581</v>
      </c>
    </row>
    <row r="38" spans="1:4" x14ac:dyDescent="0.35">
      <c r="A38" s="29">
        <v>2015</v>
      </c>
      <c r="B38" s="36" t="s">
        <v>26</v>
      </c>
      <c r="C38" s="36" t="s">
        <v>42</v>
      </c>
      <c r="D38" s="41">
        <v>3.1001125964880307</v>
      </c>
    </row>
    <row r="39" spans="1:4" x14ac:dyDescent="0.35">
      <c r="A39" s="29">
        <v>2016</v>
      </c>
      <c r="B39" s="36" t="s">
        <v>26</v>
      </c>
      <c r="C39" s="36" t="s">
        <v>42</v>
      </c>
      <c r="D39" s="41">
        <v>3.1449355305888442</v>
      </c>
    </row>
    <row r="40" spans="1:4" x14ac:dyDescent="0.35">
      <c r="A40" s="29">
        <v>2017</v>
      </c>
      <c r="B40" s="36" t="s">
        <v>26</v>
      </c>
      <c r="C40" s="36" t="s">
        <v>42</v>
      </c>
      <c r="D40" s="41">
        <v>3.1971560136349098</v>
      </c>
    </row>
    <row r="41" spans="1:4" x14ac:dyDescent="0.35">
      <c r="A41" s="29">
        <v>2018</v>
      </c>
      <c r="B41" s="36" t="s">
        <v>26</v>
      </c>
      <c r="C41" s="36" t="s">
        <v>42</v>
      </c>
      <c r="D41" s="41">
        <v>3.2453449158998549</v>
      </c>
    </row>
    <row r="42" spans="1:4" x14ac:dyDescent="0.35">
      <c r="A42" s="29">
        <v>2019</v>
      </c>
      <c r="B42" s="36" t="s">
        <v>26</v>
      </c>
      <c r="C42" s="36" t="s">
        <v>42</v>
      </c>
      <c r="D42" s="41">
        <v>3.2936505625310386</v>
      </c>
    </row>
    <row r="43" spans="1:4" x14ac:dyDescent="0.35">
      <c r="A43" s="29">
        <v>2020</v>
      </c>
      <c r="B43" s="36" t="s">
        <v>26</v>
      </c>
      <c r="C43" s="36" t="s">
        <v>42</v>
      </c>
      <c r="D43" s="41">
        <v>3.3345269513079789</v>
      </c>
    </row>
    <row r="44" spans="1:4" x14ac:dyDescent="0.35">
      <c r="A44" s="29">
        <v>2021</v>
      </c>
      <c r="B44" s="36" t="s">
        <v>26</v>
      </c>
      <c r="C44" s="36" t="s">
        <v>42</v>
      </c>
      <c r="D44" s="41">
        <v>3.3392284471439231</v>
      </c>
    </row>
    <row r="45" spans="1:4" x14ac:dyDescent="0.35">
      <c r="A45" s="29">
        <v>2022</v>
      </c>
      <c r="B45" s="36" t="s">
        <v>26</v>
      </c>
      <c r="C45" s="36" t="s">
        <v>42</v>
      </c>
      <c r="D45" s="41">
        <v>3.3819983567385421</v>
      </c>
    </row>
    <row r="46" spans="1:4" ht="29" x14ac:dyDescent="0.35">
      <c r="A46" s="29">
        <v>2023</v>
      </c>
      <c r="B46" s="36" t="s">
        <v>26</v>
      </c>
      <c r="C46" s="40" t="s">
        <v>43</v>
      </c>
      <c r="D46" s="41">
        <v>3.4657928606529884</v>
      </c>
    </row>
    <row r="47" spans="1:4" x14ac:dyDescent="0.35">
      <c r="A47" s="29">
        <v>2009</v>
      </c>
      <c r="B47" s="36" t="s">
        <v>44</v>
      </c>
      <c r="C47" s="36" t="s">
        <v>45</v>
      </c>
      <c r="D47" s="39">
        <v>1.28218881008452</v>
      </c>
    </row>
    <row r="48" spans="1:4" x14ac:dyDescent="0.35">
      <c r="A48" s="29">
        <v>2010</v>
      </c>
      <c r="B48" s="36" t="s">
        <v>44</v>
      </c>
      <c r="C48" s="36" t="s">
        <v>45</v>
      </c>
      <c r="D48" s="39">
        <v>1.0901594863867701</v>
      </c>
    </row>
    <row r="49" spans="1:4" x14ac:dyDescent="0.35">
      <c r="A49" s="29">
        <v>2011</v>
      </c>
      <c r="B49" s="36" t="s">
        <v>44</v>
      </c>
      <c r="C49" s="36" t="s">
        <v>45</v>
      </c>
      <c r="D49" s="39">
        <v>0.96946320149673504</v>
      </c>
    </row>
    <row r="50" spans="1:4" x14ac:dyDescent="0.35">
      <c r="A50" s="29">
        <v>2012</v>
      </c>
      <c r="B50" s="36" t="s">
        <v>44</v>
      </c>
      <c r="C50" s="36" t="s">
        <v>45</v>
      </c>
      <c r="D50" s="39">
        <v>0.96580103065870804</v>
      </c>
    </row>
    <row r="51" spans="1:4" x14ac:dyDescent="0.35">
      <c r="A51" s="29">
        <v>2013</v>
      </c>
      <c r="B51" s="36" t="s">
        <v>44</v>
      </c>
      <c r="C51" s="36" t="s">
        <v>45</v>
      </c>
      <c r="D51" s="39">
        <v>1.0358430965205401</v>
      </c>
    </row>
    <row r="52" spans="1:4" x14ac:dyDescent="0.35">
      <c r="A52" s="29">
        <v>2014</v>
      </c>
      <c r="B52" s="36" t="s">
        <v>44</v>
      </c>
      <c r="C52" s="36" t="s">
        <v>45</v>
      </c>
      <c r="D52" s="39">
        <v>1.1093632928169199</v>
      </c>
    </row>
    <row r="53" spans="1:4" x14ac:dyDescent="0.35">
      <c r="A53" s="29">
        <v>2015</v>
      </c>
      <c r="B53" s="36" t="s">
        <v>44</v>
      </c>
      <c r="C53" s="36" t="s">
        <v>45</v>
      </c>
      <c r="D53" s="39">
        <v>1.33109026245502</v>
      </c>
    </row>
    <row r="54" spans="1:4" x14ac:dyDescent="0.35">
      <c r="A54" s="29">
        <v>2016</v>
      </c>
      <c r="B54" s="36" t="s">
        <v>44</v>
      </c>
      <c r="C54" s="36" t="s">
        <v>45</v>
      </c>
      <c r="D54" s="39">
        <v>1.3452139760194699</v>
      </c>
    </row>
    <row r="55" spans="1:4" x14ac:dyDescent="0.35">
      <c r="A55" s="29">
        <v>2017</v>
      </c>
      <c r="B55" s="36" t="s">
        <v>44</v>
      </c>
      <c r="C55" s="36" t="s">
        <v>45</v>
      </c>
      <c r="D55" s="39">
        <v>1.3047580767159199</v>
      </c>
    </row>
    <row r="56" spans="1:4" x14ac:dyDescent="0.35">
      <c r="A56" s="29">
        <v>2018</v>
      </c>
      <c r="B56" s="36" t="s">
        <v>44</v>
      </c>
      <c r="C56" s="36" t="s">
        <v>45</v>
      </c>
      <c r="D56" s="39">
        <v>1.33841214646451</v>
      </c>
    </row>
    <row r="57" spans="1:4" x14ac:dyDescent="0.35">
      <c r="A57" s="29">
        <v>2019</v>
      </c>
      <c r="B57" s="36" t="s">
        <v>44</v>
      </c>
      <c r="C57" s="36" t="s">
        <v>45</v>
      </c>
      <c r="D57" s="39">
        <v>1.4385065442138201</v>
      </c>
    </row>
    <row r="58" spans="1:4" x14ac:dyDescent="0.35">
      <c r="A58" s="29">
        <v>2020</v>
      </c>
      <c r="B58" s="36" t="s">
        <v>44</v>
      </c>
      <c r="C58" s="36" t="s">
        <v>45</v>
      </c>
      <c r="D58" s="39">
        <v>1.4530851184701601</v>
      </c>
    </row>
    <row r="59" spans="1:4" x14ac:dyDescent="0.35">
      <c r="A59" s="29">
        <v>2021</v>
      </c>
      <c r="B59" s="36" t="s">
        <v>44</v>
      </c>
      <c r="C59" s="36" t="s">
        <v>45</v>
      </c>
      <c r="D59" s="39">
        <v>1.3312242595708099</v>
      </c>
    </row>
    <row r="60" spans="1:4" x14ac:dyDescent="0.35">
      <c r="A60" s="29">
        <v>2022</v>
      </c>
      <c r="B60" s="36" t="s">
        <v>44</v>
      </c>
      <c r="C60" s="36" t="s">
        <v>45</v>
      </c>
      <c r="D60" s="39">
        <v>1.4416644589652201</v>
      </c>
    </row>
    <row r="61" spans="1:4" x14ac:dyDescent="0.35">
      <c r="A61" s="29">
        <v>2023</v>
      </c>
      <c r="B61" s="36" t="s">
        <v>44</v>
      </c>
      <c r="C61" s="36" t="s">
        <v>45</v>
      </c>
      <c r="D61" s="39">
        <v>1.50519106560509</v>
      </c>
    </row>
    <row r="62" spans="1:4" x14ac:dyDescent="0.35">
      <c r="A62" s="29">
        <v>2009</v>
      </c>
      <c r="B62" s="36" t="s">
        <v>46</v>
      </c>
      <c r="C62" s="36" t="s">
        <v>47</v>
      </c>
      <c r="D62" s="43">
        <v>1.442566</v>
      </c>
    </row>
    <row r="63" spans="1:4" x14ac:dyDescent="0.35">
      <c r="A63" s="29">
        <v>2010</v>
      </c>
      <c r="B63" s="36" t="s">
        <v>46</v>
      </c>
      <c r="C63" s="36" t="s">
        <v>47</v>
      </c>
      <c r="D63" s="43">
        <v>1.5036229999999999</v>
      </c>
    </row>
    <row r="64" spans="1:4" x14ac:dyDescent="0.35">
      <c r="A64" s="29">
        <v>2011</v>
      </c>
      <c r="B64" s="36" t="s">
        <v>46</v>
      </c>
      <c r="C64" s="36" t="s">
        <v>47</v>
      </c>
      <c r="D64" s="43">
        <v>1.5110520000000001</v>
      </c>
    </row>
    <row r="65" spans="1:4" x14ac:dyDescent="0.35">
      <c r="A65" s="29">
        <v>2012</v>
      </c>
      <c r="B65" s="36" t="s">
        <v>46</v>
      </c>
      <c r="C65" s="36" t="s">
        <v>47</v>
      </c>
      <c r="D65" s="43">
        <v>1.5401149999999999</v>
      </c>
    </row>
    <row r="66" spans="1:4" x14ac:dyDescent="0.35">
      <c r="A66" s="29">
        <v>2013</v>
      </c>
      <c r="B66" s="36" t="s">
        <v>46</v>
      </c>
      <c r="C66" s="36" t="s">
        <v>47</v>
      </c>
      <c r="D66" s="43">
        <v>1.4471229999999999</v>
      </c>
    </row>
    <row r="67" spans="1:4" x14ac:dyDescent="0.35">
      <c r="A67" s="29">
        <v>2014</v>
      </c>
      <c r="B67" s="36" t="s">
        <v>46</v>
      </c>
      <c r="C67" s="36" t="s">
        <v>47</v>
      </c>
      <c r="D67" s="43">
        <v>1.4524889999999999</v>
      </c>
    </row>
    <row r="68" spans="1:4" x14ac:dyDescent="0.35">
      <c r="A68" s="29">
        <v>2015</v>
      </c>
      <c r="B68" s="36" t="s">
        <v>46</v>
      </c>
      <c r="C68" s="36" t="s">
        <v>47</v>
      </c>
      <c r="D68" s="43">
        <v>1.4736910000000001</v>
      </c>
    </row>
    <row r="69" spans="1:4" x14ac:dyDescent="0.35">
      <c r="A69" s="29">
        <v>2016</v>
      </c>
      <c r="B69" s="36" t="s">
        <v>46</v>
      </c>
      <c r="C69" s="36" t="s">
        <v>47</v>
      </c>
      <c r="D69" s="43">
        <v>1.450156</v>
      </c>
    </row>
    <row r="70" spans="1:4" x14ac:dyDescent="0.35">
      <c r="A70" s="29">
        <v>2017</v>
      </c>
      <c r="B70" s="36" t="s">
        <v>46</v>
      </c>
      <c r="C70" s="36" t="s">
        <v>47</v>
      </c>
      <c r="D70" s="43">
        <v>1.4775529999999999</v>
      </c>
    </row>
    <row r="71" spans="1:4" x14ac:dyDescent="0.35">
      <c r="A71" s="29">
        <v>2018</v>
      </c>
      <c r="B71" s="36" t="s">
        <v>46</v>
      </c>
      <c r="C71" s="36" t="s">
        <v>47</v>
      </c>
      <c r="D71" s="43">
        <v>1.4704029999999999</v>
      </c>
    </row>
    <row r="72" spans="1:4" x14ac:dyDescent="0.35">
      <c r="A72" s="29">
        <v>2019</v>
      </c>
      <c r="B72" s="36" t="s">
        <v>46</v>
      </c>
      <c r="C72" s="36" t="s">
        <v>47</v>
      </c>
      <c r="D72" s="43">
        <v>1.4592529999999999</v>
      </c>
    </row>
    <row r="73" spans="1:4" x14ac:dyDescent="0.35">
      <c r="A73" s="29">
        <v>2020</v>
      </c>
      <c r="B73" s="36" t="s">
        <v>46</v>
      </c>
      <c r="C73" s="36" t="s">
        <v>47</v>
      </c>
      <c r="D73" s="43">
        <v>1.431163</v>
      </c>
    </row>
    <row r="74" spans="1:4" x14ac:dyDescent="0.35">
      <c r="A74" s="29">
        <v>2021</v>
      </c>
      <c r="B74" s="36" t="s">
        <v>46</v>
      </c>
      <c r="C74" s="36" t="s">
        <v>47</v>
      </c>
      <c r="D74" s="43">
        <v>1.4166829999999999</v>
      </c>
    </row>
    <row r="75" spans="1:4" x14ac:dyDescent="0.35">
      <c r="A75" s="29">
        <v>2022</v>
      </c>
      <c r="B75" s="36" t="s">
        <v>46</v>
      </c>
      <c r="C75" s="36" t="s">
        <v>47</v>
      </c>
      <c r="D75" s="43">
        <v>1.372115</v>
      </c>
    </row>
    <row r="76" spans="1:4" x14ac:dyDescent="0.35">
      <c r="A76" s="29">
        <v>2023</v>
      </c>
      <c r="B76" s="36" t="s">
        <v>46</v>
      </c>
      <c r="C76" s="36" t="s">
        <v>47</v>
      </c>
      <c r="D76" s="43">
        <v>1.3911279999999999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EEF9E-08D9-4E76-A4FB-A701F5B87FDE}">
  <sheetPr>
    <tabColor theme="7" tint="0.79998168889431442"/>
  </sheetPr>
  <dimension ref="A1:L30"/>
  <sheetViews>
    <sheetView workbookViewId="0">
      <pane xSplit="3" ySplit="1" topLeftCell="E2" activePane="bottomRight" state="frozen"/>
      <selection activeCell="B8" sqref="B8"/>
      <selection pane="topRight" activeCell="B8" sqref="B8"/>
      <selection pane="bottomLeft" activeCell="B8" sqref="B8"/>
      <selection pane="bottomRight"/>
    </sheetView>
  </sheetViews>
  <sheetFormatPr defaultRowHeight="14.5" x14ac:dyDescent="0.35"/>
  <cols>
    <col min="1" max="1" width="20.6328125" style="34" customWidth="1"/>
    <col min="2" max="2" width="20.6328125" style="33" customWidth="1"/>
    <col min="3" max="3" width="17.6328125" style="33" customWidth="1"/>
    <col min="4" max="4" width="17.81640625" style="33" customWidth="1"/>
    <col min="5" max="5" width="16.36328125" style="33" customWidth="1"/>
    <col min="6" max="6" width="15.26953125" style="33" customWidth="1"/>
    <col min="7" max="7" width="15.7265625" style="33" customWidth="1"/>
    <col min="8" max="8" width="16" style="33" customWidth="1"/>
    <col min="9" max="9" width="15.36328125" style="33" customWidth="1"/>
    <col min="10" max="10" width="14.54296875" style="33" customWidth="1"/>
    <col min="11" max="11" width="23.81640625" style="33" customWidth="1"/>
    <col min="12" max="12" width="23.1796875" style="33" customWidth="1"/>
  </cols>
  <sheetData>
    <row r="1" spans="1:12" ht="40" customHeight="1" x14ac:dyDescent="0.35">
      <c r="A1" s="45" t="s">
        <v>48</v>
      </c>
      <c r="B1" s="46" t="s">
        <v>32</v>
      </c>
      <c r="C1" s="46" t="s">
        <v>49</v>
      </c>
      <c r="D1" s="46" t="s">
        <v>50</v>
      </c>
      <c r="E1" s="46" t="s">
        <v>51</v>
      </c>
      <c r="F1" s="46" t="s">
        <v>52</v>
      </c>
      <c r="G1" s="46" t="s">
        <v>53</v>
      </c>
      <c r="H1" s="46" t="s">
        <v>54</v>
      </c>
      <c r="I1" s="46" t="s">
        <v>55</v>
      </c>
      <c r="J1" s="46" t="s">
        <v>56</v>
      </c>
      <c r="K1" s="46" t="s">
        <v>57</v>
      </c>
      <c r="L1" s="46" t="s">
        <v>58</v>
      </c>
    </row>
    <row r="2" spans="1:12" x14ac:dyDescent="0.35">
      <c r="A2" s="34" t="s">
        <v>59</v>
      </c>
      <c r="B2" s="33" t="s">
        <v>60</v>
      </c>
      <c r="C2" s="48">
        <v>43435</v>
      </c>
      <c r="D2" s="48">
        <v>43920</v>
      </c>
      <c r="E2" s="47">
        <v>1.33841214646451</v>
      </c>
      <c r="F2" s="47">
        <v>1</v>
      </c>
      <c r="G2" s="47">
        <v>1.4704029999999999</v>
      </c>
      <c r="H2" s="47">
        <v>1</v>
      </c>
      <c r="I2" s="47">
        <f>H2/F2</f>
        <v>1</v>
      </c>
      <c r="J2" s="33" t="s">
        <v>61</v>
      </c>
      <c r="K2" s="47">
        <v>1</v>
      </c>
      <c r="L2" s="47">
        <v>1</v>
      </c>
    </row>
    <row r="3" spans="1:12" x14ac:dyDescent="0.35">
      <c r="A3" s="34" t="s">
        <v>59</v>
      </c>
      <c r="B3" s="33" t="s">
        <v>19</v>
      </c>
      <c r="C3" s="48">
        <v>45231</v>
      </c>
      <c r="D3" s="48">
        <v>45307</v>
      </c>
      <c r="E3" s="47">
        <v>1.50519106560509</v>
      </c>
      <c r="F3" s="47">
        <v>1</v>
      </c>
      <c r="G3" s="47">
        <v>1.3911279999999999</v>
      </c>
      <c r="H3" s="47">
        <v>1</v>
      </c>
      <c r="I3" s="47">
        <f t="shared" ref="I3:I30" si="0">H3/F3</f>
        <v>1</v>
      </c>
      <c r="J3" s="33" t="s">
        <v>61</v>
      </c>
      <c r="K3" s="47">
        <v>1</v>
      </c>
      <c r="L3" s="47">
        <v>1</v>
      </c>
    </row>
    <row r="4" spans="1:12" x14ac:dyDescent="0.35">
      <c r="A4" s="34" t="s">
        <v>59</v>
      </c>
      <c r="B4" s="33" t="s">
        <v>62</v>
      </c>
      <c r="C4" s="48">
        <v>45231</v>
      </c>
      <c r="D4" s="48">
        <v>45310</v>
      </c>
      <c r="E4" s="47">
        <v>1.50519106560509</v>
      </c>
      <c r="F4" s="47">
        <v>1</v>
      </c>
      <c r="G4" s="47">
        <v>1.3911279999999999</v>
      </c>
      <c r="H4" s="47">
        <v>1</v>
      </c>
      <c r="I4" s="47">
        <f t="shared" si="0"/>
        <v>1</v>
      </c>
      <c r="J4" s="33" t="s">
        <v>61</v>
      </c>
      <c r="K4" s="47">
        <v>1</v>
      </c>
      <c r="L4" s="47">
        <v>1</v>
      </c>
    </row>
    <row r="5" spans="1:12" x14ac:dyDescent="0.35">
      <c r="A5" s="34" t="s">
        <v>63</v>
      </c>
      <c r="B5" s="33" t="s">
        <v>64</v>
      </c>
      <c r="C5" s="48">
        <v>43525</v>
      </c>
      <c r="D5" s="48">
        <v>43831</v>
      </c>
      <c r="E5" s="47">
        <v>0.89312273620726912</v>
      </c>
      <c r="F5" s="47">
        <v>0.62086803831357129</v>
      </c>
      <c r="G5" s="47">
        <v>0.73833199999999999</v>
      </c>
      <c r="H5" s="47">
        <v>0.50596572355856051</v>
      </c>
      <c r="I5" s="47">
        <f t="shared" si="0"/>
        <v>0.81493279140747299</v>
      </c>
      <c r="J5" s="33" t="s">
        <v>61</v>
      </c>
      <c r="K5" s="47">
        <v>0.62086803831357129</v>
      </c>
      <c r="L5" s="47">
        <v>0.50596572355856051</v>
      </c>
    </row>
    <row r="6" spans="1:12" x14ac:dyDescent="0.35">
      <c r="A6" s="34" t="s">
        <v>65</v>
      </c>
      <c r="B6" s="33" t="s">
        <v>64</v>
      </c>
      <c r="C6" s="48">
        <v>44713</v>
      </c>
      <c r="D6" s="48">
        <v>44805</v>
      </c>
      <c r="E6" s="47">
        <v>0.94983249470390541</v>
      </c>
      <c r="F6" s="47">
        <v>0.65884435785124662</v>
      </c>
      <c r="G6" s="47">
        <v>0.69464300000000001</v>
      </c>
      <c r="H6" s="47">
        <v>0.50625712859344885</v>
      </c>
      <c r="I6" s="47">
        <f t="shared" si="0"/>
        <v>0.76840170604868596</v>
      </c>
      <c r="J6" s="33" t="s">
        <v>61</v>
      </c>
      <c r="K6" s="47">
        <v>0.65884435785124662</v>
      </c>
      <c r="L6" s="47">
        <v>0.50625712859344885</v>
      </c>
    </row>
    <row r="7" spans="1:12" x14ac:dyDescent="0.35">
      <c r="A7" s="34" t="s">
        <v>66</v>
      </c>
      <c r="B7" s="33" t="s">
        <v>64</v>
      </c>
      <c r="C7" s="48">
        <v>44378</v>
      </c>
      <c r="D7" s="48">
        <v>44547</v>
      </c>
      <c r="E7" s="47">
        <v>1.2538769021267999</v>
      </c>
      <c r="F7" s="47">
        <v>0.94189757519221673</v>
      </c>
      <c r="G7" s="47">
        <v>1.1800390000000001</v>
      </c>
      <c r="H7" s="47">
        <v>0.83295910235387882</v>
      </c>
      <c r="I7" s="47">
        <f t="shared" si="0"/>
        <v>0.88434148711328153</v>
      </c>
      <c r="J7" s="33" t="s">
        <v>61</v>
      </c>
      <c r="K7" s="47">
        <v>0.94189757519221673</v>
      </c>
      <c r="L7" s="47">
        <v>0.83295910235387882</v>
      </c>
    </row>
    <row r="8" spans="1:12" x14ac:dyDescent="0.35">
      <c r="A8" s="34" t="s">
        <v>66</v>
      </c>
      <c r="B8" s="33" t="s">
        <v>60</v>
      </c>
      <c r="C8" s="48">
        <v>44927</v>
      </c>
      <c r="D8" s="48">
        <v>44994</v>
      </c>
      <c r="E8" s="47">
        <v>1.3499086407939</v>
      </c>
      <c r="F8" s="47">
        <v>0.89683540624208657</v>
      </c>
      <c r="G8" s="47">
        <v>1.1699280000000001</v>
      </c>
      <c r="H8" s="47">
        <v>0.84099234577982773</v>
      </c>
      <c r="I8" s="47">
        <f t="shared" si="0"/>
        <v>0.93773321160874767</v>
      </c>
      <c r="J8" s="33" t="s">
        <v>61</v>
      </c>
      <c r="K8" s="47">
        <v>0.89683540624208657</v>
      </c>
      <c r="L8" s="47">
        <v>0.84099234577982773</v>
      </c>
    </row>
    <row r="9" spans="1:12" x14ac:dyDescent="0.35">
      <c r="A9" s="34" t="s">
        <v>66</v>
      </c>
      <c r="B9" s="33" t="s">
        <v>67</v>
      </c>
      <c r="C9" s="48">
        <v>45231</v>
      </c>
      <c r="D9" s="48">
        <v>45374</v>
      </c>
      <c r="E9" s="47">
        <v>1.3499086407939</v>
      </c>
      <c r="F9" s="47">
        <v>0.89683540624208657</v>
      </c>
      <c r="G9" s="47">
        <v>1.1699280000000001</v>
      </c>
      <c r="H9" s="47">
        <v>0.84099234577982773</v>
      </c>
      <c r="I9" s="47">
        <f t="shared" si="0"/>
        <v>0.93773321160874767</v>
      </c>
      <c r="J9" s="33" t="s">
        <v>61</v>
      </c>
      <c r="K9" s="47">
        <v>0.89683540624208657</v>
      </c>
      <c r="L9" s="47">
        <v>0.84099234577982773</v>
      </c>
    </row>
    <row r="10" spans="1:12" x14ac:dyDescent="0.35">
      <c r="A10" s="34" t="s">
        <v>68</v>
      </c>
      <c r="B10" s="33" t="s">
        <v>60</v>
      </c>
      <c r="C10" s="48">
        <v>44409</v>
      </c>
      <c r="D10" s="48">
        <v>44420</v>
      </c>
      <c r="E10" s="47">
        <v>0.84457913917678851</v>
      </c>
      <c r="F10" s="47">
        <v>0.63443791164764607</v>
      </c>
      <c r="G10" s="47">
        <v>0.40748086115350202</v>
      </c>
      <c r="H10" s="47">
        <v>0.28763023284214045</v>
      </c>
      <c r="I10" s="47">
        <f t="shared" si="0"/>
        <v>0.45336230316873694</v>
      </c>
      <c r="J10" s="33" t="s">
        <v>61</v>
      </c>
      <c r="K10" s="47">
        <v>0.63443791164764607</v>
      </c>
      <c r="L10" s="47">
        <v>0.28763023284214045</v>
      </c>
    </row>
    <row r="11" spans="1:12" x14ac:dyDescent="0.35">
      <c r="A11" s="34" t="s">
        <v>69</v>
      </c>
      <c r="B11" s="33" t="s">
        <v>64</v>
      </c>
      <c r="C11" s="48">
        <v>43374</v>
      </c>
      <c r="D11" s="48">
        <v>43466</v>
      </c>
      <c r="E11" s="47">
        <v>0.84635657313332657</v>
      </c>
      <c r="F11" s="47">
        <v>0.63235870607497435</v>
      </c>
      <c r="G11" s="47">
        <v>0.853746</v>
      </c>
      <c r="H11" s="47">
        <v>0.58062041494746686</v>
      </c>
      <c r="I11" s="47">
        <f t="shared" si="0"/>
        <v>0.91818205295433497</v>
      </c>
      <c r="J11" s="33" t="s">
        <v>61</v>
      </c>
      <c r="K11" s="47">
        <v>0.63235870607497435</v>
      </c>
      <c r="L11" s="47">
        <v>0.58062041494746686</v>
      </c>
    </row>
    <row r="12" spans="1:12" x14ac:dyDescent="0.35">
      <c r="A12" s="34" t="s">
        <v>70</v>
      </c>
      <c r="B12" s="33" t="s">
        <v>60</v>
      </c>
      <c r="C12" s="48">
        <v>44105</v>
      </c>
      <c r="D12" s="48">
        <v>44153</v>
      </c>
      <c r="E12" s="47">
        <v>0.87692692915771175</v>
      </c>
      <c r="F12" s="47">
        <v>0.60349315949292748</v>
      </c>
      <c r="G12" s="47">
        <v>0.693052</v>
      </c>
      <c r="H12" s="47">
        <v>0.48425790772958777</v>
      </c>
      <c r="I12" s="47">
        <f t="shared" si="0"/>
        <v>0.80242484958151861</v>
      </c>
      <c r="J12" s="33" t="s">
        <v>61</v>
      </c>
      <c r="K12" s="47">
        <v>0.60349315949292748</v>
      </c>
      <c r="L12" s="47">
        <v>0.48425790772958777</v>
      </c>
    </row>
    <row r="13" spans="1:12" x14ac:dyDescent="0.35">
      <c r="A13" s="34" t="s">
        <v>71</v>
      </c>
      <c r="B13" s="33" t="s">
        <v>60</v>
      </c>
      <c r="C13" s="48">
        <v>43617</v>
      </c>
      <c r="D13" s="48">
        <v>43711</v>
      </c>
      <c r="E13" s="47">
        <v>0.89312273620726912</v>
      </c>
      <c r="F13" s="47">
        <v>0.62086803831357129</v>
      </c>
      <c r="G13" s="47">
        <v>0.71774499999999997</v>
      </c>
      <c r="H13" s="47">
        <v>0.49185782040537179</v>
      </c>
      <c r="I13" s="47">
        <f t="shared" si="0"/>
        <v>0.79220992232323206</v>
      </c>
      <c r="J13" s="33" t="s">
        <v>61</v>
      </c>
      <c r="K13" s="47">
        <v>0.62086803831357129</v>
      </c>
      <c r="L13" s="47">
        <v>0.49185782040537179</v>
      </c>
    </row>
    <row r="14" spans="1:12" x14ac:dyDescent="0.35">
      <c r="A14" s="34" t="s">
        <v>72</v>
      </c>
      <c r="B14" s="33" t="s">
        <v>60</v>
      </c>
      <c r="C14" s="48">
        <v>44166</v>
      </c>
      <c r="D14" s="48">
        <v>44181</v>
      </c>
      <c r="E14" s="47">
        <v>0.87692692915771175</v>
      </c>
      <c r="F14" s="47">
        <v>0.60349315949292748</v>
      </c>
      <c r="G14" s="47">
        <v>0.53025100000000003</v>
      </c>
      <c r="H14" s="47">
        <v>0.3705035694746161</v>
      </c>
      <c r="I14" s="47">
        <f t="shared" si="0"/>
        <v>0.61393168032910928</v>
      </c>
      <c r="J14" s="33" t="s">
        <v>61</v>
      </c>
      <c r="K14" s="47">
        <v>0.60349315949292748</v>
      </c>
      <c r="L14" s="47">
        <v>0.3705035694746161</v>
      </c>
    </row>
    <row r="15" spans="1:12" x14ac:dyDescent="0.35">
      <c r="A15" s="34" t="s">
        <v>73</v>
      </c>
      <c r="B15" s="33" t="s">
        <v>62</v>
      </c>
      <c r="C15" s="48">
        <v>43374</v>
      </c>
      <c r="D15" s="48">
        <v>43466</v>
      </c>
      <c r="E15" s="47">
        <v>0.84635657313332657</v>
      </c>
      <c r="F15" s="47">
        <v>0.63235870607497435</v>
      </c>
      <c r="G15" s="47">
        <v>0.68121900000000002</v>
      </c>
      <c r="H15" s="47">
        <v>0.46328727566524286</v>
      </c>
      <c r="I15" s="47">
        <f t="shared" si="0"/>
        <v>0.73263366379637407</v>
      </c>
      <c r="J15" s="33" t="s">
        <v>61</v>
      </c>
      <c r="K15" s="47">
        <v>0.63235870607497435</v>
      </c>
      <c r="L15" s="47">
        <v>0.46328727566524286</v>
      </c>
    </row>
    <row r="16" spans="1:12" x14ac:dyDescent="0.35">
      <c r="A16" s="34" t="s">
        <v>74</v>
      </c>
      <c r="B16" s="33" t="s">
        <v>64</v>
      </c>
      <c r="C16" s="48">
        <v>44774</v>
      </c>
      <c r="D16" s="48">
        <v>44830</v>
      </c>
      <c r="E16" s="47">
        <v>0.94983249470390541</v>
      </c>
      <c r="F16" s="47">
        <v>0.65884435785124662</v>
      </c>
      <c r="G16" s="47">
        <v>0.46699299999999999</v>
      </c>
      <c r="H16" s="47">
        <v>0.34034537921384139</v>
      </c>
      <c r="I16" s="47">
        <f t="shared" si="0"/>
        <v>0.5165793334314086</v>
      </c>
      <c r="J16" s="33" t="s">
        <v>61</v>
      </c>
      <c r="K16" s="47">
        <v>0.65884435785124662</v>
      </c>
      <c r="L16" s="47">
        <v>0.34034537921384139</v>
      </c>
    </row>
    <row r="17" spans="1:12" x14ac:dyDescent="0.35">
      <c r="A17" s="34" t="s">
        <v>75</v>
      </c>
      <c r="B17" s="33" t="s">
        <v>60</v>
      </c>
      <c r="C17" s="48">
        <v>44044</v>
      </c>
      <c r="D17" s="48">
        <v>44046</v>
      </c>
      <c r="E17" s="47">
        <v>0.87692692915771175</v>
      </c>
      <c r="F17" s="47">
        <v>0.60349315949292748</v>
      </c>
      <c r="G17" s="47">
        <v>0.83816199999999996</v>
      </c>
      <c r="H17" s="47">
        <v>0.58565097057428117</v>
      </c>
      <c r="I17" s="47">
        <f t="shared" si="0"/>
        <v>0.97043514306999301</v>
      </c>
      <c r="J17" s="33" t="s">
        <v>61</v>
      </c>
      <c r="K17" s="47">
        <v>0.60349315949292748</v>
      </c>
      <c r="L17" s="47">
        <v>0.58565097057428117</v>
      </c>
    </row>
    <row r="18" spans="1:12" x14ac:dyDescent="0.35">
      <c r="A18" s="34" t="s">
        <v>76</v>
      </c>
      <c r="B18" s="33" t="s">
        <v>60</v>
      </c>
      <c r="C18" s="48">
        <v>44440</v>
      </c>
      <c r="D18" s="48">
        <v>44562</v>
      </c>
      <c r="E18" s="47">
        <v>8.59</v>
      </c>
      <c r="F18" s="47">
        <v>6.4527069261564067</v>
      </c>
      <c r="G18" s="47">
        <v>8.9620429999999995</v>
      </c>
      <c r="H18" s="47">
        <v>6.3260750640757317</v>
      </c>
      <c r="I18" s="47">
        <f t="shared" si="0"/>
        <v>0.98037538919250067</v>
      </c>
      <c r="J18" s="33" t="s">
        <v>61</v>
      </c>
      <c r="K18" s="47">
        <v>6.4527069261564067</v>
      </c>
      <c r="L18" s="47">
        <v>6.3260750640757317</v>
      </c>
    </row>
    <row r="19" spans="1:12" x14ac:dyDescent="0.35">
      <c r="A19" s="34" t="s">
        <v>77</v>
      </c>
      <c r="B19" s="33" t="s">
        <v>60</v>
      </c>
      <c r="C19" s="48">
        <v>45170</v>
      </c>
      <c r="D19" s="48">
        <v>45264</v>
      </c>
      <c r="E19" s="47">
        <v>4.2036666666666704</v>
      </c>
      <c r="F19" s="47">
        <v>2.7927794435697022</v>
      </c>
      <c r="G19" s="47">
        <v>1.879248</v>
      </c>
      <c r="H19" s="47">
        <v>1.3508807241317837</v>
      </c>
      <c r="I19" s="47">
        <f t="shared" si="0"/>
        <v>0.48370476488651815</v>
      </c>
      <c r="J19" s="83" t="s">
        <v>78</v>
      </c>
      <c r="K19" s="84">
        <v>0.61457469261244835</v>
      </c>
      <c r="L19" s="84">
        <v>0.29727270719530846</v>
      </c>
    </row>
    <row r="20" spans="1:12" x14ac:dyDescent="0.35">
      <c r="A20" s="34" t="s">
        <v>79</v>
      </c>
      <c r="B20" s="33" t="s">
        <v>60</v>
      </c>
      <c r="C20" s="48">
        <v>44470</v>
      </c>
      <c r="D20" s="48">
        <v>44545</v>
      </c>
      <c r="E20" s="47">
        <v>0.84457913917678851</v>
      </c>
      <c r="F20" s="47">
        <v>0.63443791164764607</v>
      </c>
      <c r="G20" s="47">
        <v>0.53762900000000002</v>
      </c>
      <c r="H20" s="47">
        <v>0.37949844813553918</v>
      </c>
      <c r="I20" s="47">
        <f t="shared" si="0"/>
        <v>0.59816483404967913</v>
      </c>
      <c r="J20" s="33" t="s">
        <v>61</v>
      </c>
      <c r="K20" s="47">
        <v>0.63443791164764607</v>
      </c>
      <c r="L20" s="47">
        <v>0.37949844813553918</v>
      </c>
    </row>
    <row r="21" spans="1:12" x14ac:dyDescent="0.35">
      <c r="A21" s="34" t="s">
        <v>80</v>
      </c>
      <c r="B21" s="33" t="s">
        <v>64</v>
      </c>
      <c r="C21" s="48">
        <v>44743</v>
      </c>
      <c r="D21" s="48">
        <v>45901</v>
      </c>
      <c r="E21" s="47">
        <v>0.94983249470390541</v>
      </c>
      <c r="F21" s="47">
        <v>0.65884435785124662</v>
      </c>
      <c r="G21" s="47">
        <v>0.49218000000000001</v>
      </c>
      <c r="H21" s="47">
        <v>0.35870171232003151</v>
      </c>
      <c r="I21" s="47">
        <f t="shared" si="0"/>
        <v>0.54444074392607744</v>
      </c>
      <c r="J21" s="33" t="s">
        <v>61</v>
      </c>
      <c r="K21" s="47">
        <v>0.65884435785124662</v>
      </c>
      <c r="L21" s="47">
        <v>0.35870171232003151</v>
      </c>
    </row>
    <row r="22" spans="1:12" x14ac:dyDescent="0.35">
      <c r="A22" s="34" t="s">
        <v>81</v>
      </c>
      <c r="B22" s="33" t="s">
        <v>60</v>
      </c>
      <c r="C22" s="48">
        <v>44287</v>
      </c>
      <c r="D22" s="48">
        <v>44362</v>
      </c>
      <c r="E22" s="47">
        <v>0.84457913917678851</v>
      </c>
      <c r="F22" s="47">
        <v>0.63443791164764607</v>
      </c>
      <c r="G22" s="47">
        <v>0.53329300000000002</v>
      </c>
      <c r="H22" s="47">
        <v>0.37643777754091778</v>
      </c>
      <c r="I22" s="47">
        <f t="shared" si="0"/>
        <v>0.59334061005796845</v>
      </c>
      <c r="J22" s="33" t="s">
        <v>61</v>
      </c>
      <c r="K22" s="47">
        <v>0.63443791164764607</v>
      </c>
      <c r="L22" s="47">
        <v>0.37643777754091778</v>
      </c>
    </row>
    <row r="23" spans="1:12" x14ac:dyDescent="0.35">
      <c r="A23" s="34" t="s">
        <v>82</v>
      </c>
      <c r="B23" s="33" t="s">
        <v>64</v>
      </c>
      <c r="C23" s="48">
        <v>43252</v>
      </c>
      <c r="D23" s="48">
        <v>43282</v>
      </c>
      <c r="E23" s="47">
        <v>1100.16333333333</v>
      </c>
      <c r="F23" s="47">
        <v>821.99144429425007</v>
      </c>
      <c r="G23" s="47">
        <v>854.871397</v>
      </c>
      <c r="H23" s="47">
        <v>581.38578131301426</v>
      </c>
      <c r="I23" s="47">
        <f t="shared" si="0"/>
        <v>0.70728933415138362</v>
      </c>
      <c r="J23" s="33" t="s">
        <v>61</v>
      </c>
      <c r="K23" s="47">
        <v>821.99144429425007</v>
      </c>
      <c r="L23" s="47">
        <v>581.38578131301426</v>
      </c>
    </row>
    <row r="24" spans="1:12" x14ac:dyDescent="0.35">
      <c r="A24" s="34" t="s">
        <v>83</v>
      </c>
      <c r="B24" s="33" t="s">
        <v>62</v>
      </c>
      <c r="C24" s="48">
        <v>43282</v>
      </c>
      <c r="D24" s="48">
        <v>43441</v>
      </c>
      <c r="E24" s="47">
        <v>0.84635657313332657</v>
      </c>
      <c r="F24" s="47">
        <v>0.63235870607497435</v>
      </c>
      <c r="G24" s="47">
        <v>0.63179799999999997</v>
      </c>
      <c r="H24" s="47">
        <v>0.4296767620849522</v>
      </c>
      <c r="I24" s="47">
        <f t="shared" si="0"/>
        <v>0.67948263850424229</v>
      </c>
      <c r="J24" s="33" t="s">
        <v>61</v>
      </c>
      <c r="K24" s="47">
        <v>0.63235870607497435</v>
      </c>
      <c r="L24" s="47">
        <v>0.4296767620849522</v>
      </c>
    </row>
    <row r="25" spans="1:12" x14ac:dyDescent="0.35">
      <c r="A25" s="34" t="s">
        <v>84</v>
      </c>
      <c r="B25" s="33" t="s">
        <v>64</v>
      </c>
      <c r="C25" s="48">
        <v>44105</v>
      </c>
      <c r="D25" s="48">
        <v>44216</v>
      </c>
      <c r="E25" s="47">
        <v>9.2103090284208502</v>
      </c>
      <c r="F25" s="47">
        <v>6.3384511418833229</v>
      </c>
      <c r="G25" s="47">
        <v>8.4356159999999996</v>
      </c>
      <c r="H25" s="47">
        <v>5.8942384620060748</v>
      </c>
      <c r="I25" s="47">
        <f t="shared" si="0"/>
        <v>0.92991778749512288</v>
      </c>
      <c r="J25" s="33" t="s">
        <v>61</v>
      </c>
      <c r="K25" s="47">
        <v>6.3384511418833229</v>
      </c>
      <c r="L25" s="47">
        <v>5.8942384620060748</v>
      </c>
    </row>
    <row r="26" spans="1:12" x14ac:dyDescent="0.35">
      <c r="A26" s="34" t="s">
        <v>85</v>
      </c>
      <c r="B26" s="33" t="s">
        <v>19</v>
      </c>
      <c r="C26" s="48">
        <v>43191</v>
      </c>
      <c r="D26" s="48">
        <v>43233</v>
      </c>
      <c r="E26" s="47">
        <v>0.74953154025984703</v>
      </c>
      <c r="F26" s="47">
        <v>0.56001549465893308</v>
      </c>
      <c r="G26" s="47">
        <v>0.68771400000000005</v>
      </c>
      <c r="H26" s="47">
        <v>0.46770443205026113</v>
      </c>
      <c r="I26" s="47">
        <f t="shared" si="0"/>
        <v>0.83516337764030568</v>
      </c>
      <c r="J26" s="33" t="s">
        <v>61</v>
      </c>
      <c r="K26" s="47">
        <v>0.56001549465893308</v>
      </c>
      <c r="L26" s="47">
        <v>0.46770443205026113</v>
      </c>
    </row>
    <row r="27" spans="1:12" x14ac:dyDescent="0.35">
      <c r="A27" s="34" t="s">
        <v>85</v>
      </c>
      <c r="B27" s="33" t="s">
        <v>60</v>
      </c>
      <c r="C27" s="48">
        <v>44256</v>
      </c>
      <c r="D27" s="48">
        <v>44313</v>
      </c>
      <c r="E27" s="47">
        <v>0.72706494468832294</v>
      </c>
      <c r="F27" s="47">
        <v>0.54616263147332555</v>
      </c>
      <c r="G27" s="47">
        <v>0.64489600000000002</v>
      </c>
      <c r="H27" s="47">
        <v>0.45521545751590164</v>
      </c>
      <c r="I27" s="47">
        <f t="shared" si="0"/>
        <v>0.83347968404193951</v>
      </c>
      <c r="J27" s="33" t="s">
        <v>61</v>
      </c>
      <c r="K27" s="47">
        <v>0.54616263147332555</v>
      </c>
      <c r="L27" s="47">
        <v>0.45521545751590164</v>
      </c>
    </row>
    <row r="28" spans="1:12" x14ac:dyDescent="0.35">
      <c r="A28" s="34" t="s">
        <v>86</v>
      </c>
      <c r="B28" s="33" t="s">
        <v>62</v>
      </c>
      <c r="C28" s="48">
        <v>44228</v>
      </c>
      <c r="D28" s="48">
        <v>44636</v>
      </c>
      <c r="E28" s="47">
        <v>1</v>
      </c>
      <c r="F28" s="47">
        <v>0.75118823354556541</v>
      </c>
      <c r="G28" s="47">
        <v>1</v>
      </c>
      <c r="H28" s="47">
        <v>0.70587421462670197</v>
      </c>
      <c r="I28" s="47">
        <f t="shared" si="0"/>
        <v>0.93967687871655836</v>
      </c>
      <c r="J28" s="33" t="s">
        <v>61</v>
      </c>
      <c r="K28" s="47">
        <v>0.75118823354556541</v>
      </c>
      <c r="L28" s="47">
        <v>0.70587421462670197</v>
      </c>
    </row>
    <row r="29" spans="1:12" x14ac:dyDescent="0.35">
      <c r="A29" s="34" t="s">
        <v>86</v>
      </c>
      <c r="B29" s="33" t="s">
        <v>87</v>
      </c>
      <c r="C29" s="48">
        <v>44470</v>
      </c>
      <c r="D29" s="48">
        <v>44595</v>
      </c>
      <c r="E29" s="47">
        <v>1</v>
      </c>
      <c r="F29" s="47">
        <v>0.75118823354556541</v>
      </c>
      <c r="G29" s="47">
        <v>1</v>
      </c>
      <c r="H29" s="47">
        <v>0.70587421462670197</v>
      </c>
      <c r="I29" s="47">
        <f t="shared" si="0"/>
        <v>0.93967687871655836</v>
      </c>
      <c r="J29" s="33" t="s">
        <v>61</v>
      </c>
      <c r="K29" s="47">
        <v>0.75118823354556541</v>
      </c>
      <c r="L29" s="47">
        <v>0.70587421462670197</v>
      </c>
    </row>
    <row r="30" spans="1:12" x14ac:dyDescent="0.35">
      <c r="A30" s="34" t="s">
        <v>88</v>
      </c>
      <c r="B30" s="33" t="s">
        <v>64</v>
      </c>
      <c r="C30" s="48">
        <v>45047</v>
      </c>
      <c r="D30" s="48">
        <v>45115</v>
      </c>
      <c r="E30" s="47">
        <v>38.823916666666697</v>
      </c>
      <c r="F30" s="47">
        <v>25.793347804027391</v>
      </c>
      <c r="G30" s="47">
        <v>25.708087339119</v>
      </c>
      <c r="H30" s="47">
        <v>18.480030118809342</v>
      </c>
      <c r="I30" s="47">
        <f t="shared" si="0"/>
        <v>0.71646496837932205</v>
      </c>
      <c r="J30" s="33" t="s">
        <v>89</v>
      </c>
      <c r="K30" s="47">
        <v>0.66436748320585992</v>
      </c>
      <c r="L30" s="47">
        <v>0.47599602784733619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27CD4-D7C4-405F-B8F3-945DB00F5F7D}">
  <sheetPr>
    <tabColor theme="7" tint="0.79998168889431442"/>
  </sheetPr>
  <dimension ref="A1:L30"/>
  <sheetViews>
    <sheetView workbookViewId="0">
      <pane xSplit="1" ySplit="1" topLeftCell="B2" activePane="bottomRight" state="frozen"/>
      <selection activeCell="B8" sqref="B8"/>
      <selection pane="topRight" activeCell="B8" sqref="B8"/>
      <selection pane="bottomLeft" activeCell="B8" sqref="B8"/>
      <selection pane="bottomRight"/>
    </sheetView>
  </sheetViews>
  <sheetFormatPr defaultRowHeight="14.5" x14ac:dyDescent="0.35"/>
  <cols>
    <col min="1" max="1" width="13.6328125" style="77" customWidth="1"/>
    <col min="2" max="2" width="22.7265625" style="74" customWidth="1"/>
    <col min="3" max="3" width="17.81640625" style="74" customWidth="1"/>
    <col min="4" max="4" width="19" style="74" customWidth="1"/>
    <col min="5" max="5" width="15.36328125" style="74" customWidth="1"/>
    <col min="6" max="6" width="15.453125" style="74" customWidth="1"/>
    <col min="7" max="7" width="21.81640625" style="74" customWidth="1"/>
    <col min="8" max="8" width="19.1796875" style="33" hidden="1" customWidth="1"/>
    <col min="9" max="9" width="22.7265625" style="33" hidden="1" customWidth="1"/>
    <col min="10" max="10" width="32.1796875" style="33" hidden="1" customWidth="1"/>
    <col min="12" max="12" width="12" bestFit="1" customWidth="1"/>
    <col min="13" max="13" width="12.7265625" bestFit="1" customWidth="1"/>
    <col min="14" max="14" width="12" bestFit="1" customWidth="1"/>
  </cols>
  <sheetData>
    <row r="1" spans="1:10" s="54" customFormat="1" ht="40" customHeight="1" x14ac:dyDescent="0.35">
      <c r="A1" s="68" t="s">
        <v>90</v>
      </c>
      <c r="B1" s="68" t="s">
        <v>91</v>
      </c>
      <c r="C1" s="68" t="s">
        <v>92</v>
      </c>
      <c r="D1" s="68" t="s">
        <v>93</v>
      </c>
      <c r="E1" s="68" t="s">
        <v>94</v>
      </c>
      <c r="F1" s="68" t="s">
        <v>95</v>
      </c>
      <c r="G1" s="68" t="s">
        <v>96</v>
      </c>
      <c r="H1" s="63" t="s">
        <v>97</v>
      </c>
      <c r="I1" s="63" t="s">
        <v>98</v>
      </c>
      <c r="J1" s="63" t="s">
        <v>99</v>
      </c>
    </row>
    <row r="2" spans="1:10" x14ac:dyDescent="0.35">
      <c r="A2" s="77">
        <v>2005</v>
      </c>
      <c r="B2" s="85">
        <v>9762</v>
      </c>
      <c r="C2" s="77">
        <v>558</v>
      </c>
      <c r="D2" s="86">
        <v>20.1768</v>
      </c>
      <c r="E2" s="87">
        <f t="shared" ref="E2:E30" si="0">$B2/$C2/$D2</f>
        <v>0.86706631655733213</v>
      </c>
      <c r="F2" s="87" t="s">
        <v>100</v>
      </c>
      <c r="G2" s="77" t="s">
        <v>100</v>
      </c>
      <c r="H2" s="64" t="s">
        <v>100</v>
      </c>
      <c r="I2" s="64" t="s">
        <v>100</v>
      </c>
      <c r="J2" s="65" t="s">
        <v>100</v>
      </c>
    </row>
    <row r="3" spans="1:10" x14ac:dyDescent="0.35">
      <c r="A3" s="77">
        <v>2006</v>
      </c>
      <c r="B3" s="85">
        <v>10245</v>
      </c>
      <c r="C3" s="77">
        <v>558</v>
      </c>
      <c r="D3" s="86">
        <v>20.451000000000001</v>
      </c>
      <c r="E3" s="87">
        <f t="shared" si="0"/>
        <v>0.89776612653481203</v>
      </c>
      <c r="F3" s="87" t="s">
        <v>100</v>
      </c>
      <c r="G3" s="77" t="s">
        <v>100</v>
      </c>
      <c r="H3" s="64" t="s">
        <v>100</v>
      </c>
      <c r="I3" s="64" t="s">
        <v>100</v>
      </c>
      <c r="J3" s="65" t="s">
        <v>100</v>
      </c>
    </row>
    <row r="4" spans="1:10" x14ac:dyDescent="0.35">
      <c r="A4" s="77">
        <v>2007</v>
      </c>
      <c r="B4" s="85">
        <v>11342</v>
      </c>
      <c r="C4" s="77">
        <v>558</v>
      </c>
      <c r="D4" s="86">
        <v>20.827599999999997</v>
      </c>
      <c r="E4" s="87">
        <f t="shared" si="0"/>
        <v>0.97592448839770174</v>
      </c>
      <c r="F4" s="87">
        <f t="shared" ref="F4:F30" si="1">AVERAGE(E2:E4)</f>
        <v>0.91358564382994867</v>
      </c>
      <c r="G4" s="87">
        <f>F4/$F$22</f>
        <v>1.6931818851708003</v>
      </c>
      <c r="H4" s="64" t="s">
        <v>100</v>
      </c>
      <c r="I4" s="64" t="s">
        <v>100</v>
      </c>
      <c r="J4" s="64" t="s">
        <v>100</v>
      </c>
    </row>
    <row r="5" spans="1:10" x14ac:dyDescent="0.35">
      <c r="A5" s="77">
        <v>2008</v>
      </c>
      <c r="B5" s="85">
        <v>12448</v>
      </c>
      <c r="C5" s="77">
        <v>558</v>
      </c>
      <c r="D5" s="86">
        <v>21.249200000000002</v>
      </c>
      <c r="E5" s="87">
        <f t="shared" si="0"/>
        <v>1.0498392281873465</v>
      </c>
      <c r="F5" s="87">
        <f t="shared" si="1"/>
        <v>0.97450994770662014</v>
      </c>
      <c r="G5" s="87">
        <f t="shared" ref="G5:G30" si="2">F5/$F$22</f>
        <v>1.8060951389935829</v>
      </c>
      <c r="H5" s="64" t="s">
        <v>100</v>
      </c>
      <c r="I5" s="64" t="s">
        <v>100</v>
      </c>
      <c r="J5" s="64" t="s">
        <v>100</v>
      </c>
    </row>
    <row r="6" spans="1:10" x14ac:dyDescent="0.35">
      <c r="A6" s="77">
        <v>2009</v>
      </c>
      <c r="B6" s="85">
        <v>13420</v>
      </c>
      <c r="C6" s="77">
        <v>558</v>
      </c>
      <c r="D6" s="86">
        <v>21.691700000000001</v>
      </c>
      <c r="E6" s="87">
        <f t="shared" si="0"/>
        <v>1.1087272648741009</v>
      </c>
      <c r="F6" s="87">
        <f t="shared" si="1"/>
        <v>1.0448303271530497</v>
      </c>
      <c r="G6" s="87">
        <f t="shared" si="2"/>
        <v>1.9364224853580514</v>
      </c>
      <c r="H6" s="64" t="s">
        <v>100</v>
      </c>
      <c r="I6" s="64" t="s">
        <v>100</v>
      </c>
      <c r="J6" s="64" t="s">
        <v>100</v>
      </c>
    </row>
    <row r="7" spans="1:10" x14ac:dyDescent="0.35">
      <c r="A7" s="77">
        <v>2010</v>
      </c>
      <c r="B7" s="85">
        <v>14885.8</v>
      </c>
      <c r="C7" s="77">
        <v>558</v>
      </c>
      <c r="D7" s="86">
        <v>22.0318</v>
      </c>
      <c r="E7" s="87">
        <f t="shared" si="0"/>
        <v>1.2108434595402844</v>
      </c>
      <c r="F7" s="87">
        <f t="shared" si="1"/>
        <v>1.123136650867244</v>
      </c>
      <c r="G7" s="87">
        <f t="shared" si="2"/>
        <v>2.0815504760424952</v>
      </c>
      <c r="H7" s="64" t="s">
        <v>100</v>
      </c>
      <c r="I7" s="64" t="s">
        <v>100</v>
      </c>
      <c r="J7" s="64" t="s">
        <v>100</v>
      </c>
    </row>
    <row r="8" spans="1:10" x14ac:dyDescent="0.35">
      <c r="A8" s="77">
        <v>2011</v>
      </c>
      <c r="B8" s="85">
        <v>15267.4</v>
      </c>
      <c r="C8" s="77">
        <v>558</v>
      </c>
      <c r="D8" s="86">
        <v>22.34</v>
      </c>
      <c r="E8" s="87">
        <f t="shared" si="0"/>
        <v>1.2247507564745559</v>
      </c>
      <c r="F8" s="87">
        <f t="shared" si="1"/>
        <v>1.181440493629647</v>
      </c>
      <c r="G8" s="87">
        <f t="shared" si="2"/>
        <v>2.18960713287359</v>
      </c>
      <c r="H8" s="64" t="s">
        <v>100</v>
      </c>
      <c r="I8" s="64" t="s">
        <v>100</v>
      </c>
      <c r="J8" s="64" t="s">
        <v>100</v>
      </c>
    </row>
    <row r="9" spans="1:10" x14ac:dyDescent="0.35">
      <c r="A9" s="77">
        <v>2012</v>
      </c>
      <c r="B9" s="85">
        <v>15014.8</v>
      </c>
      <c r="C9" s="77">
        <v>558</v>
      </c>
      <c r="D9" s="86">
        <v>22.733499999999999</v>
      </c>
      <c r="E9" s="87">
        <f t="shared" si="0"/>
        <v>1.1836384070907939</v>
      </c>
      <c r="F9" s="87">
        <f t="shared" si="1"/>
        <v>1.2064108743685447</v>
      </c>
      <c r="G9" s="87">
        <f t="shared" si="2"/>
        <v>2.2358856581749236</v>
      </c>
      <c r="H9" s="64" t="s">
        <v>100</v>
      </c>
      <c r="I9" s="64" t="s">
        <v>100</v>
      </c>
      <c r="J9" s="64" t="s">
        <v>100</v>
      </c>
    </row>
    <row r="10" spans="1:10" x14ac:dyDescent="0.35">
      <c r="A10" s="77">
        <v>2013</v>
      </c>
      <c r="B10" s="85">
        <v>14757.2</v>
      </c>
      <c r="C10" s="77">
        <v>558</v>
      </c>
      <c r="D10" s="86">
        <v>23.1281</v>
      </c>
      <c r="E10" s="87">
        <f t="shared" si="0"/>
        <v>1.1434832512000057</v>
      </c>
      <c r="F10" s="87">
        <f t="shared" si="1"/>
        <v>1.183957471588452</v>
      </c>
      <c r="G10" s="87">
        <f t="shared" si="2"/>
        <v>2.1942719407260389</v>
      </c>
      <c r="H10" s="64" t="s">
        <v>100</v>
      </c>
      <c r="I10" s="64" t="s">
        <v>100</v>
      </c>
      <c r="J10" s="64" t="s">
        <v>100</v>
      </c>
    </row>
    <row r="11" spans="1:10" x14ac:dyDescent="0.35">
      <c r="A11" s="77">
        <v>2014</v>
      </c>
      <c r="B11" s="85">
        <v>14759.6</v>
      </c>
      <c r="C11" s="77">
        <v>558</v>
      </c>
      <c r="D11" s="86">
        <v>23.4757</v>
      </c>
      <c r="E11" s="87">
        <f t="shared" si="0"/>
        <v>1.1267351370714258</v>
      </c>
      <c r="F11" s="87">
        <f t="shared" si="1"/>
        <v>1.1512855984540751</v>
      </c>
      <c r="G11" s="87">
        <f t="shared" si="2"/>
        <v>2.1337199562248221</v>
      </c>
      <c r="H11" s="64" t="s">
        <v>100</v>
      </c>
      <c r="I11" s="64" t="s">
        <v>100</v>
      </c>
      <c r="J11" s="64" t="s">
        <v>100</v>
      </c>
    </row>
    <row r="12" spans="1:10" x14ac:dyDescent="0.35">
      <c r="A12" s="77">
        <v>2015</v>
      </c>
      <c r="B12" s="85">
        <v>15444.332</v>
      </c>
      <c r="C12" s="77">
        <v>758</v>
      </c>
      <c r="D12" s="86">
        <v>23.815999999999999</v>
      </c>
      <c r="E12" s="87">
        <f t="shared" si="0"/>
        <v>0.85552184159470646</v>
      </c>
      <c r="F12" s="87">
        <f t="shared" si="1"/>
        <v>1.0419134099553793</v>
      </c>
      <c r="G12" s="87">
        <f t="shared" si="2"/>
        <v>1.9310164554001659</v>
      </c>
      <c r="H12" s="64" t="s">
        <v>100</v>
      </c>
      <c r="I12" s="64" t="s">
        <v>100</v>
      </c>
      <c r="J12" s="64" t="s">
        <v>100</v>
      </c>
    </row>
    <row r="13" spans="1:10" x14ac:dyDescent="0.35">
      <c r="A13" s="77">
        <v>2016</v>
      </c>
      <c r="B13" s="85">
        <v>14850</v>
      </c>
      <c r="C13" s="77">
        <v>758</v>
      </c>
      <c r="D13" s="86">
        <v>24.190900000000003</v>
      </c>
      <c r="E13" s="87">
        <f t="shared" si="0"/>
        <v>0.80985118469121453</v>
      </c>
      <c r="F13" s="87">
        <f t="shared" si="1"/>
        <v>0.93070272111911556</v>
      </c>
      <c r="G13" s="87">
        <f t="shared" si="2"/>
        <v>1.7249055942601701</v>
      </c>
      <c r="H13" s="64" t="s">
        <v>100</v>
      </c>
      <c r="I13" s="64" t="s">
        <v>100</v>
      </c>
      <c r="J13" s="64" t="s">
        <v>100</v>
      </c>
    </row>
    <row r="14" spans="1:10" x14ac:dyDescent="0.35">
      <c r="A14" s="77">
        <v>2017</v>
      </c>
      <c r="B14" s="85">
        <v>14052.671701720841</v>
      </c>
      <c r="C14" s="77">
        <v>758</v>
      </c>
      <c r="D14" s="86">
        <v>24.592599999999997</v>
      </c>
      <c r="E14" s="87">
        <f t="shared" si="0"/>
        <v>0.75385053736593066</v>
      </c>
      <c r="F14" s="87">
        <f t="shared" si="1"/>
        <v>0.80640785455061714</v>
      </c>
      <c r="G14" s="87">
        <f t="shared" si="2"/>
        <v>1.4945453451528885</v>
      </c>
      <c r="H14" s="64" t="s">
        <v>100</v>
      </c>
      <c r="I14" s="64" t="s">
        <v>100</v>
      </c>
      <c r="J14" s="64" t="s">
        <v>100</v>
      </c>
    </row>
    <row r="15" spans="1:10" x14ac:dyDescent="0.35">
      <c r="A15" s="77">
        <v>2018</v>
      </c>
      <c r="B15" s="85">
        <v>13544.021988527726</v>
      </c>
      <c r="C15" s="77">
        <v>788</v>
      </c>
      <c r="D15" s="86">
        <v>24.9633</v>
      </c>
      <c r="E15" s="87">
        <f t="shared" si="0"/>
        <v>0.68852456057918021</v>
      </c>
      <c r="F15" s="87">
        <f t="shared" si="1"/>
        <v>0.75074209421210847</v>
      </c>
      <c r="G15" s="87">
        <f t="shared" si="2"/>
        <v>1.3913779435349118</v>
      </c>
      <c r="H15" s="64" t="s">
        <v>100</v>
      </c>
      <c r="I15" s="64" t="s">
        <v>100</v>
      </c>
      <c r="J15" s="64" t="s">
        <v>100</v>
      </c>
    </row>
    <row r="16" spans="1:10" x14ac:dyDescent="0.35">
      <c r="A16" s="77">
        <v>2019</v>
      </c>
      <c r="B16" s="85">
        <v>13312</v>
      </c>
      <c r="C16" s="77">
        <v>788</v>
      </c>
      <c r="D16" s="86">
        <v>25.334799999999998</v>
      </c>
      <c r="E16" s="87">
        <f t="shared" si="0"/>
        <v>0.66680617234903883</v>
      </c>
      <c r="F16" s="87">
        <f t="shared" si="1"/>
        <v>0.7030604234313832</v>
      </c>
      <c r="G16" s="87">
        <f t="shared" si="2"/>
        <v>1.3030077488346661</v>
      </c>
      <c r="H16" s="64" t="s">
        <v>100</v>
      </c>
      <c r="I16" s="64" t="s">
        <v>100</v>
      </c>
      <c r="J16" s="64" t="s">
        <v>100</v>
      </c>
    </row>
    <row r="17" spans="1:12" x14ac:dyDescent="0.35">
      <c r="A17" s="77">
        <v>2020</v>
      </c>
      <c r="B17" s="85">
        <v>12586</v>
      </c>
      <c r="C17" s="77">
        <v>913</v>
      </c>
      <c r="D17" s="86">
        <v>25.6492</v>
      </c>
      <c r="E17" s="87">
        <f t="shared" si="0"/>
        <v>0.53745626025857784</v>
      </c>
      <c r="F17" s="87">
        <f t="shared" si="1"/>
        <v>0.63092899772893229</v>
      </c>
      <c r="G17" s="87">
        <f t="shared" si="2"/>
        <v>1.1693239238142432</v>
      </c>
      <c r="H17" s="64" t="s">
        <v>100</v>
      </c>
      <c r="I17" s="64" t="s">
        <v>100</v>
      </c>
      <c r="J17" s="64" t="s">
        <v>100</v>
      </c>
    </row>
    <row r="18" spans="1:12" x14ac:dyDescent="0.35">
      <c r="A18" s="77">
        <v>2021</v>
      </c>
      <c r="B18" s="85">
        <v>12162</v>
      </c>
      <c r="C18" s="77">
        <v>913</v>
      </c>
      <c r="D18" s="86">
        <v>25.685400000000001</v>
      </c>
      <c r="E18" s="87">
        <f t="shared" si="0"/>
        <v>0.5186183607734981</v>
      </c>
      <c r="F18" s="87">
        <f t="shared" si="1"/>
        <v>0.57429359779370504</v>
      </c>
      <c r="G18" s="87">
        <f t="shared" si="2"/>
        <v>1.0643594534579426</v>
      </c>
      <c r="H18" s="64" t="s">
        <v>100</v>
      </c>
      <c r="I18" s="64" t="s">
        <v>100</v>
      </c>
      <c r="J18" s="64" t="s">
        <v>100</v>
      </c>
    </row>
    <row r="19" spans="1:12" x14ac:dyDescent="0.35">
      <c r="A19" s="77">
        <v>2022</v>
      </c>
      <c r="B19" s="85">
        <v>12877</v>
      </c>
      <c r="C19" s="77">
        <v>913</v>
      </c>
      <c r="D19" s="86">
        <v>26.014400000000002</v>
      </c>
      <c r="E19" s="87">
        <f t="shared" si="0"/>
        <v>0.54216328548542692</v>
      </c>
      <c r="F19" s="87">
        <f t="shared" si="1"/>
        <v>0.53274596883916769</v>
      </c>
      <c r="G19" s="87">
        <f t="shared" si="2"/>
        <v>0.98735770414989998</v>
      </c>
      <c r="H19" s="64" t="s">
        <v>100</v>
      </c>
      <c r="I19" s="64" t="s">
        <v>100</v>
      </c>
      <c r="J19" s="64" t="s">
        <v>100</v>
      </c>
    </row>
    <row r="20" spans="1:12" x14ac:dyDescent="0.35">
      <c r="A20" s="77">
        <v>2023</v>
      </c>
      <c r="B20" s="85">
        <v>13737</v>
      </c>
      <c r="C20" s="77">
        <v>913</v>
      </c>
      <c r="D20" s="86">
        <v>26.652799999999999</v>
      </c>
      <c r="E20" s="87">
        <f t="shared" si="0"/>
        <v>0.56451863183532325</v>
      </c>
      <c r="F20" s="87">
        <f t="shared" si="1"/>
        <v>0.54176675936474938</v>
      </c>
      <c r="G20" s="87">
        <f t="shared" si="2"/>
        <v>1.0040762671122119</v>
      </c>
      <c r="H20" s="64">
        <v>0.54539900468949909</v>
      </c>
      <c r="I20" s="64">
        <f t="shared" ref="I20:I29" si="3">AVERAGE(H18:H20)</f>
        <v>0.54539900468949909</v>
      </c>
      <c r="J20" s="64">
        <f t="shared" ref="J20:J29" si="4">I20/I$22</f>
        <v>1.0093680728990297</v>
      </c>
    </row>
    <row r="21" spans="1:12" x14ac:dyDescent="0.35">
      <c r="A21" s="77">
        <v>2024</v>
      </c>
      <c r="B21" s="85">
        <v>14421.132218975225</v>
      </c>
      <c r="C21" s="77">
        <v>1013</v>
      </c>
      <c r="D21" s="86">
        <v>27.204799999999999</v>
      </c>
      <c r="E21" s="87">
        <f t="shared" si="0"/>
        <v>0.52329233792721408</v>
      </c>
      <c r="F21" s="87">
        <f t="shared" si="1"/>
        <v>0.54332475174932138</v>
      </c>
      <c r="G21" s="87">
        <f t="shared" si="2"/>
        <v>1.0069637517181789</v>
      </c>
      <c r="H21" s="64">
        <v>0.54049925796696197</v>
      </c>
      <c r="I21" s="64">
        <f t="shared" si="3"/>
        <v>0.54294913132823053</v>
      </c>
      <c r="J21" s="64">
        <f t="shared" si="4"/>
        <v>1.0048341006470669</v>
      </c>
    </row>
    <row r="22" spans="1:12" x14ac:dyDescent="0.35">
      <c r="A22" s="77">
        <v>2025</v>
      </c>
      <c r="B22" s="85">
        <v>15143.18758896733</v>
      </c>
      <c r="C22" s="77">
        <v>1033</v>
      </c>
      <c r="D22" s="86">
        <v>27.612871999999996</v>
      </c>
      <c r="E22" s="87">
        <f t="shared" si="0"/>
        <v>0.53089104653819286</v>
      </c>
      <c r="F22" s="87">
        <f t="shared" si="1"/>
        <v>0.5395673387669101</v>
      </c>
      <c r="G22" s="87">
        <f t="shared" si="2"/>
        <v>1</v>
      </c>
      <c r="H22" s="64">
        <v>0.53511299973579718</v>
      </c>
      <c r="I22" s="64">
        <f t="shared" si="3"/>
        <v>0.54033708746408615</v>
      </c>
      <c r="J22" s="64">
        <f t="shared" si="4"/>
        <v>1</v>
      </c>
    </row>
    <row r="23" spans="1:12" x14ac:dyDescent="0.35">
      <c r="A23" s="89">
        <v>2026</v>
      </c>
      <c r="B23" s="88">
        <f t="shared" ref="B23:B30" si="5">15143.1875889673</f>
        <v>15143.187588967299</v>
      </c>
      <c r="C23" s="89">
        <v>1033</v>
      </c>
      <c r="D23" s="90">
        <v>27.612871999999996</v>
      </c>
      <c r="E23" s="91">
        <f t="shared" si="0"/>
        <v>0.53089104653819175</v>
      </c>
      <c r="F23" s="91">
        <f t="shared" si="1"/>
        <v>0.52835814366786626</v>
      </c>
      <c r="G23" s="91">
        <f t="shared" si="2"/>
        <v>0.97922558632874157</v>
      </c>
      <c r="H23" s="66">
        <v>0.53511299973579718</v>
      </c>
      <c r="I23" s="66">
        <f t="shared" si="3"/>
        <v>0.53690841914618537</v>
      </c>
      <c r="J23" s="66">
        <f t="shared" si="4"/>
        <v>0.99365457526894507</v>
      </c>
    </row>
    <row r="24" spans="1:12" x14ac:dyDescent="0.35">
      <c r="A24" s="89">
        <v>2027</v>
      </c>
      <c r="B24" s="88">
        <f t="shared" si="5"/>
        <v>15143.187588967299</v>
      </c>
      <c r="C24" s="89">
        <v>1033</v>
      </c>
      <c r="D24" s="90">
        <v>27.612871999999996</v>
      </c>
      <c r="E24" s="91">
        <f t="shared" si="0"/>
        <v>0.53089104653819175</v>
      </c>
      <c r="F24" s="91">
        <f t="shared" si="1"/>
        <v>0.53089104653819208</v>
      </c>
      <c r="G24" s="91">
        <f t="shared" si="2"/>
        <v>0.98391990840560106</v>
      </c>
      <c r="H24" s="66">
        <v>0.53511299973579718</v>
      </c>
      <c r="I24" s="66">
        <f t="shared" si="3"/>
        <v>0.53511299973579718</v>
      </c>
      <c r="J24" s="66">
        <f t="shared" si="4"/>
        <v>0.99033179870586585</v>
      </c>
    </row>
    <row r="25" spans="1:12" x14ac:dyDescent="0.35">
      <c r="A25" s="89">
        <v>2028</v>
      </c>
      <c r="B25" s="88">
        <f t="shared" si="5"/>
        <v>15143.187588967299</v>
      </c>
      <c r="C25" s="89">
        <v>1033</v>
      </c>
      <c r="D25" s="90">
        <v>27.612871999999996</v>
      </c>
      <c r="E25" s="91">
        <f t="shared" si="0"/>
        <v>0.53089104653819175</v>
      </c>
      <c r="F25" s="91">
        <f t="shared" si="1"/>
        <v>0.53089104653819175</v>
      </c>
      <c r="G25" s="91">
        <f t="shared" si="2"/>
        <v>0.9839199084056004</v>
      </c>
      <c r="H25" s="66">
        <v>0.53511299973579718</v>
      </c>
      <c r="I25" s="66">
        <f t="shared" si="3"/>
        <v>0.53511299973579718</v>
      </c>
      <c r="J25" s="66">
        <f t="shared" si="4"/>
        <v>0.99033179870586585</v>
      </c>
      <c r="L25" s="55"/>
    </row>
    <row r="26" spans="1:12" x14ac:dyDescent="0.35">
      <c r="A26" s="89">
        <v>2029</v>
      </c>
      <c r="B26" s="88">
        <f t="shared" si="5"/>
        <v>15143.187588967299</v>
      </c>
      <c r="C26" s="89">
        <v>1033</v>
      </c>
      <c r="D26" s="90">
        <v>27.612871999999996</v>
      </c>
      <c r="E26" s="91">
        <f t="shared" si="0"/>
        <v>0.53089104653819175</v>
      </c>
      <c r="F26" s="91">
        <f t="shared" si="1"/>
        <v>0.53089104653819175</v>
      </c>
      <c r="G26" s="91">
        <f t="shared" si="2"/>
        <v>0.9839199084056004</v>
      </c>
      <c r="H26" s="66">
        <v>0.53511299973579718</v>
      </c>
      <c r="I26" s="66">
        <f t="shared" si="3"/>
        <v>0.53511299973579718</v>
      </c>
      <c r="J26" s="66">
        <f t="shared" si="4"/>
        <v>0.99033179870586585</v>
      </c>
    </row>
    <row r="27" spans="1:12" x14ac:dyDescent="0.35">
      <c r="A27" s="89">
        <v>2030</v>
      </c>
      <c r="B27" s="88">
        <f t="shared" si="5"/>
        <v>15143.187588967299</v>
      </c>
      <c r="C27" s="89">
        <v>1033</v>
      </c>
      <c r="D27" s="90">
        <v>27.612871999999996</v>
      </c>
      <c r="E27" s="91">
        <f t="shared" si="0"/>
        <v>0.53089104653819175</v>
      </c>
      <c r="F27" s="91">
        <f t="shared" si="1"/>
        <v>0.53089104653819175</v>
      </c>
      <c r="G27" s="91">
        <f t="shared" si="2"/>
        <v>0.9839199084056004</v>
      </c>
      <c r="H27" s="66">
        <v>0.53511299973579718</v>
      </c>
      <c r="I27" s="66">
        <f t="shared" si="3"/>
        <v>0.53511299973579718</v>
      </c>
      <c r="J27" s="66">
        <f t="shared" si="4"/>
        <v>0.99033179870586585</v>
      </c>
    </row>
    <row r="28" spans="1:12" x14ac:dyDescent="0.35">
      <c r="A28" s="89">
        <v>2031</v>
      </c>
      <c r="B28" s="88">
        <f t="shared" si="5"/>
        <v>15143.187588967299</v>
      </c>
      <c r="C28" s="89">
        <v>1033</v>
      </c>
      <c r="D28" s="90">
        <v>27.612871999999996</v>
      </c>
      <c r="E28" s="91">
        <f t="shared" si="0"/>
        <v>0.53089104653819175</v>
      </c>
      <c r="F28" s="91">
        <f t="shared" si="1"/>
        <v>0.53089104653819175</v>
      </c>
      <c r="G28" s="91">
        <f t="shared" si="2"/>
        <v>0.9839199084056004</v>
      </c>
      <c r="H28" s="66">
        <v>0.53511299973579718</v>
      </c>
      <c r="I28" s="66">
        <f t="shared" si="3"/>
        <v>0.53511299973579718</v>
      </c>
      <c r="J28" s="66">
        <f t="shared" si="4"/>
        <v>0.99033179870586585</v>
      </c>
    </row>
    <row r="29" spans="1:12" x14ac:dyDescent="0.35">
      <c r="A29" s="89">
        <v>2032</v>
      </c>
      <c r="B29" s="88">
        <f t="shared" si="5"/>
        <v>15143.187588967299</v>
      </c>
      <c r="C29" s="89">
        <v>1033</v>
      </c>
      <c r="D29" s="90">
        <v>27.612871999999996</v>
      </c>
      <c r="E29" s="91">
        <f t="shared" si="0"/>
        <v>0.53089104653819175</v>
      </c>
      <c r="F29" s="91">
        <f t="shared" si="1"/>
        <v>0.53089104653819175</v>
      </c>
      <c r="G29" s="91">
        <f t="shared" si="2"/>
        <v>0.9839199084056004</v>
      </c>
      <c r="H29" s="66">
        <v>0.53511299973579718</v>
      </c>
      <c r="I29" s="66">
        <f t="shared" si="3"/>
        <v>0.53511299973579718</v>
      </c>
      <c r="J29" s="66">
        <f t="shared" si="4"/>
        <v>0.99033179870586585</v>
      </c>
    </row>
    <row r="30" spans="1:12" x14ac:dyDescent="0.35">
      <c r="A30" s="89">
        <v>2033</v>
      </c>
      <c r="B30" s="88">
        <f t="shared" si="5"/>
        <v>15143.187588967299</v>
      </c>
      <c r="C30" s="89">
        <v>1033</v>
      </c>
      <c r="D30" s="90">
        <v>27.612871999999996</v>
      </c>
      <c r="E30" s="91">
        <f t="shared" si="0"/>
        <v>0.53089104653819175</v>
      </c>
      <c r="F30" s="91">
        <f t="shared" si="1"/>
        <v>0.53089104653819175</v>
      </c>
      <c r="G30" s="91">
        <f t="shared" si="2"/>
        <v>0.9839199084056004</v>
      </c>
    </row>
  </sheetData>
  <sheetProtection algorithmName="SHA-512" hashValue="8QknO4ttddNbh3D7riKhR5ZDj9xxIeV/Ce3wYDOL5CGuXUsRcWPqBuEVjgUPgulgdUsLX0oORLulY+a/+5kd3g==" saltValue="8hcZOzOBCsQgC7hHHKKiHw==" spinCount="100000" sheet="1" objects="1" scenarios="1"/>
  <pageMargins left="0.7" right="0.7" top="0.75" bottom="0.75" header="0.3" footer="0.3"/>
  <ignoredErrors>
    <ignoredError sqref="I20:I29"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ED89F-83B5-4428-9F3D-6A77E0AB2CDB}">
  <sheetPr>
    <tabColor theme="9" tint="0.79998168889431442"/>
  </sheetPr>
  <dimension ref="A1:J30"/>
  <sheetViews>
    <sheetView workbookViewId="0">
      <pane xSplit="3" ySplit="1" topLeftCell="D2" activePane="bottomRight" state="frozen"/>
      <selection pane="topRight" activeCell="D10" sqref="D10"/>
      <selection pane="bottomLeft" activeCell="D10" sqref="D10"/>
      <selection pane="bottomRight" activeCell="I10" sqref="I10"/>
    </sheetView>
  </sheetViews>
  <sheetFormatPr defaultColWidth="9.1796875" defaultRowHeight="14.5" x14ac:dyDescent="0.35"/>
  <cols>
    <col min="1" max="1" width="20.6328125" style="74" customWidth="1"/>
    <col min="2" max="2" width="20.6328125" style="77" customWidth="1"/>
    <col min="3" max="3" width="17.6328125" style="92" customWidth="1"/>
    <col min="4" max="4" width="17.36328125" style="80" customWidth="1"/>
    <col min="5" max="5" width="16.6328125" style="80" customWidth="1"/>
    <col min="6" max="6" width="14.453125" style="74" customWidth="1"/>
    <col min="7" max="7" width="14.6328125" style="74" customWidth="1"/>
    <col min="8" max="8" width="18.54296875" style="74" customWidth="1"/>
    <col min="9" max="9" width="19" style="74" customWidth="1"/>
    <col min="11" max="11" width="9.1796875" style="44"/>
    <col min="12" max="12" width="9.1796875" style="44" bestFit="1" customWidth="1"/>
    <col min="13" max="16384" width="9.1796875" style="44"/>
  </cols>
  <sheetData>
    <row r="1" spans="1:9" ht="40" customHeight="1" x14ac:dyDescent="0.35">
      <c r="A1" s="93" t="s">
        <v>48</v>
      </c>
      <c r="B1" s="68" t="s">
        <v>32</v>
      </c>
      <c r="C1" s="94" t="s">
        <v>101</v>
      </c>
      <c r="D1" s="95" t="s">
        <v>33</v>
      </c>
      <c r="E1" s="95" t="s">
        <v>34</v>
      </c>
      <c r="F1" s="68" t="s">
        <v>102</v>
      </c>
      <c r="G1" s="68" t="s">
        <v>103</v>
      </c>
      <c r="H1" s="68" t="s">
        <v>104</v>
      </c>
      <c r="I1" s="68" t="s">
        <v>105</v>
      </c>
    </row>
    <row r="2" spans="1:9" x14ac:dyDescent="0.35">
      <c r="A2" s="96" t="s">
        <v>59</v>
      </c>
      <c r="B2" s="77" t="s">
        <v>60</v>
      </c>
      <c r="C2" s="92">
        <v>43435</v>
      </c>
      <c r="D2" s="80">
        <v>43920</v>
      </c>
      <c r="E2" s="118">
        <v>47571</v>
      </c>
      <c r="F2" s="119">
        <f>YEARFRAC(D2,E2)</f>
        <v>9.9972222222222218</v>
      </c>
      <c r="G2" s="120">
        <f>$E2-$D2+1</f>
        <v>3652</v>
      </c>
      <c r="H2" s="81">
        <v>844292000</v>
      </c>
      <c r="I2" s="97">
        <v>0.28590499647250406</v>
      </c>
    </row>
    <row r="3" spans="1:9" x14ac:dyDescent="0.35">
      <c r="A3" s="96" t="s">
        <v>59</v>
      </c>
      <c r="B3" s="77" t="s">
        <v>19</v>
      </c>
      <c r="C3" s="92">
        <v>45231</v>
      </c>
      <c r="D3" s="80">
        <v>45307</v>
      </c>
      <c r="E3" s="80">
        <v>47863</v>
      </c>
      <c r="F3" s="85">
        <f t="shared" ref="F3:F30" si="0">YEARFRAC(D3,E3)</f>
        <v>6.9972222222222218</v>
      </c>
      <c r="G3" s="81">
        <f t="shared" ref="G3:G30" si="1">$E3-$D3+1</f>
        <v>2557</v>
      </c>
      <c r="H3" s="81">
        <v>25856300</v>
      </c>
      <c r="I3" s="97">
        <v>6.7299999999999999E-2</v>
      </c>
    </row>
    <row r="4" spans="1:9" x14ac:dyDescent="0.35">
      <c r="A4" s="96" t="s">
        <v>59</v>
      </c>
      <c r="B4" s="77" t="s">
        <v>62</v>
      </c>
      <c r="C4" s="92">
        <v>45231</v>
      </c>
      <c r="D4" s="80">
        <v>45310</v>
      </c>
      <c r="E4" s="80">
        <v>52614</v>
      </c>
      <c r="F4" s="85">
        <f t="shared" si="0"/>
        <v>19.997222222222224</v>
      </c>
      <c r="G4" s="81">
        <f t="shared" si="1"/>
        <v>7305</v>
      </c>
      <c r="H4" s="81">
        <v>695910000</v>
      </c>
      <c r="I4" s="97">
        <v>0.28870000000000001</v>
      </c>
    </row>
    <row r="5" spans="1:9" x14ac:dyDescent="0.35">
      <c r="A5" s="96" t="s">
        <v>63</v>
      </c>
      <c r="B5" s="77" t="s">
        <v>64</v>
      </c>
      <c r="C5" s="92">
        <v>43525</v>
      </c>
      <c r="D5" s="80">
        <v>43831</v>
      </c>
      <c r="E5" s="80">
        <v>51135</v>
      </c>
      <c r="F5" s="85">
        <f t="shared" si="0"/>
        <v>20</v>
      </c>
      <c r="G5" s="81">
        <f t="shared" si="1"/>
        <v>7305</v>
      </c>
      <c r="H5" s="81">
        <v>187689576</v>
      </c>
      <c r="I5" s="97">
        <v>5.4195907516838338E-2</v>
      </c>
    </row>
    <row r="6" spans="1:9" x14ac:dyDescent="0.35">
      <c r="A6" s="96" t="s">
        <v>65</v>
      </c>
      <c r="B6" s="77" t="s">
        <v>64</v>
      </c>
      <c r="C6" s="92">
        <v>44713</v>
      </c>
      <c r="D6" s="80">
        <v>44805</v>
      </c>
      <c r="E6" s="80">
        <v>51262</v>
      </c>
      <c r="F6" s="85">
        <f t="shared" si="0"/>
        <v>17.680555555555557</v>
      </c>
      <c r="G6" s="81">
        <f t="shared" si="1"/>
        <v>6458</v>
      </c>
      <c r="H6" s="81">
        <v>208930000</v>
      </c>
      <c r="I6" s="97">
        <v>4.8746139995386364E-2</v>
      </c>
    </row>
    <row r="7" spans="1:9" x14ac:dyDescent="0.35">
      <c r="A7" s="96" t="s">
        <v>66</v>
      </c>
      <c r="B7" s="77" t="s">
        <v>64</v>
      </c>
      <c r="C7" s="92">
        <v>44378</v>
      </c>
      <c r="D7" s="80">
        <v>44547</v>
      </c>
      <c r="E7" s="80">
        <v>51851</v>
      </c>
      <c r="F7" s="85">
        <f t="shared" si="0"/>
        <v>19.997222222222224</v>
      </c>
      <c r="G7" s="81">
        <f t="shared" si="1"/>
        <v>7305</v>
      </c>
      <c r="H7" s="81">
        <v>8911563543</v>
      </c>
      <c r="I7" s="97">
        <v>1.2895686732857543</v>
      </c>
    </row>
    <row r="8" spans="1:9" x14ac:dyDescent="0.35">
      <c r="A8" s="96" t="s">
        <v>66</v>
      </c>
      <c r="B8" s="77" t="s">
        <v>60</v>
      </c>
      <c r="C8" s="92">
        <v>44927</v>
      </c>
      <c r="D8" s="80">
        <v>44994</v>
      </c>
      <c r="E8" s="80">
        <v>51203</v>
      </c>
      <c r="F8" s="85">
        <f t="shared" si="0"/>
        <v>16.997222222222224</v>
      </c>
      <c r="G8" s="81">
        <f t="shared" si="1"/>
        <v>6210</v>
      </c>
      <c r="H8" s="81">
        <v>1336824</v>
      </c>
      <c r="I8" s="97">
        <v>0.74082382475020914</v>
      </c>
    </row>
    <row r="9" spans="1:9" x14ac:dyDescent="0.35">
      <c r="A9" s="96" t="s">
        <v>66</v>
      </c>
      <c r="B9" s="77" t="s">
        <v>67</v>
      </c>
      <c r="C9" s="92">
        <v>45231</v>
      </c>
      <c r="D9" s="80">
        <v>45374</v>
      </c>
      <c r="E9" s="80">
        <v>52678</v>
      </c>
      <c r="F9" s="85">
        <f t="shared" si="0"/>
        <v>19.997222222222224</v>
      </c>
      <c r="G9" s="81">
        <f t="shared" si="1"/>
        <v>7305</v>
      </c>
      <c r="H9" s="81">
        <v>2157696532</v>
      </c>
      <c r="I9" s="97">
        <v>0.24553656682270714</v>
      </c>
    </row>
    <row r="10" spans="1:9" x14ac:dyDescent="0.35">
      <c r="A10" s="96" t="s">
        <v>68</v>
      </c>
      <c r="B10" s="77" t="s">
        <v>60</v>
      </c>
      <c r="C10" s="92">
        <v>44409</v>
      </c>
      <c r="D10" s="80">
        <v>44420</v>
      </c>
      <c r="E10" s="80">
        <v>49898</v>
      </c>
      <c r="F10" s="85">
        <f t="shared" si="0"/>
        <v>14.997222222222222</v>
      </c>
      <c r="G10" s="81">
        <f t="shared" si="1"/>
        <v>5479</v>
      </c>
      <c r="H10" s="81">
        <v>22381047.182958391</v>
      </c>
      <c r="I10" s="97">
        <v>1.7281274077570907E-2</v>
      </c>
    </row>
    <row r="11" spans="1:9" x14ac:dyDescent="0.35">
      <c r="A11" s="96" t="s">
        <v>69</v>
      </c>
      <c r="B11" s="77" t="s">
        <v>64</v>
      </c>
      <c r="C11" s="92">
        <v>43374</v>
      </c>
      <c r="D11" s="80">
        <v>43466</v>
      </c>
      <c r="E11" s="80">
        <v>48944</v>
      </c>
      <c r="F11" s="85">
        <f t="shared" si="0"/>
        <v>15</v>
      </c>
      <c r="G11" s="81">
        <f t="shared" si="1"/>
        <v>5479</v>
      </c>
      <c r="H11" s="81">
        <v>77605000</v>
      </c>
      <c r="I11" s="97">
        <v>3.607764981342293E-2</v>
      </c>
    </row>
    <row r="12" spans="1:9" x14ac:dyDescent="0.35">
      <c r="A12" s="96" t="s">
        <v>70</v>
      </c>
      <c r="B12" s="77" t="s">
        <v>60</v>
      </c>
      <c r="C12" s="92">
        <v>44105</v>
      </c>
      <c r="D12" s="80">
        <v>44153</v>
      </c>
      <c r="E12" s="80">
        <v>49630</v>
      </c>
      <c r="F12" s="85">
        <f t="shared" si="0"/>
        <v>14.997222222222222</v>
      </c>
      <c r="G12" s="81">
        <f t="shared" si="1"/>
        <v>5478</v>
      </c>
      <c r="H12" s="81">
        <v>2786000000</v>
      </c>
      <c r="I12" s="97">
        <v>0.13335637044688381</v>
      </c>
    </row>
    <row r="13" spans="1:9" x14ac:dyDescent="0.35">
      <c r="A13" s="96" t="s">
        <v>71</v>
      </c>
      <c r="B13" s="77" t="s">
        <v>60</v>
      </c>
      <c r="C13" s="92">
        <v>43617</v>
      </c>
      <c r="D13" s="80">
        <v>43711</v>
      </c>
      <c r="E13" s="80">
        <v>51501</v>
      </c>
      <c r="F13" s="85">
        <f t="shared" si="0"/>
        <v>21.327777777777779</v>
      </c>
      <c r="G13" s="81">
        <f t="shared" si="1"/>
        <v>7791</v>
      </c>
      <c r="H13" s="81">
        <v>4175529000</v>
      </c>
      <c r="I13" s="97">
        <v>0.16750452042438976</v>
      </c>
    </row>
    <row r="14" spans="1:9" x14ac:dyDescent="0.35">
      <c r="A14" s="96" t="s">
        <v>72</v>
      </c>
      <c r="B14" s="77" t="s">
        <v>60</v>
      </c>
      <c r="C14" s="92">
        <v>44166</v>
      </c>
      <c r="D14" s="80">
        <v>44181</v>
      </c>
      <c r="E14" s="80">
        <v>49658</v>
      </c>
      <c r="F14" s="85">
        <f t="shared" si="0"/>
        <v>14.997222222222222</v>
      </c>
      <c r="G14" s="81">
        <f t="shared" si="1"/>
        <v>5478</v>
      </c>
      <c r="H14" s="81">
        <v>98527051</v>
      </c>
      <c r="I14" s="97">
        <v>2.3613695971085941E-2</v>
      </c>
    </row>
    <row r="15" spans="1:9" x14ac:dyDescent="0.35">
      <c r="A15" s="96" t="s">
        <v>73</v>
      </c>
      <c r="B15" s="77" t="s">
        <v>62</v>
      </c>
      <c r="C15" s="92">
        <v>43374</v>
      </c>
      <c r="D15" s="80">
        <v>43466</v>
      </c>
      <c r="E15" s="80">
        <v>50405</v>
      </c>
      <c r="F15" s="85">
        <f t="shared" si="0"/>
        <v>19</v>
      </c>
      <c r="G15" s="81">
        <f t="shared" si="1"/>
        <v>6940</v>
      </c>
      <c r="H15" s="81">
        <v>4346820000</v>
      </c>
      <c r="I15" s="97">
        <v>0.35970650308762936</v>
      </c>
    </row>
    <row r="16" spans="1:9" x14ac:dyDescent="0.35">
      <c r="A16" s="96" t="s">
        <v>74</v>
      </c>
      <c r="B16" s="77" t="s">
        <v>64</v>
      </c>
      <c r="C16" s="92">
        <v>44774</v>
      </c>
      <c r="D16" s="80">
        <v>44830</v>
      </c>
      <c r="E16" s="80">
        <v>52135</v>
      </c>
      <c r="F16" s="85">
        <f t="shared" si="0"/>
        <v>20</v>
      </c>
      <c r="G16" s="81">
        <f t="shared" si="1"/>
        <v>7306</v>
      </c>
      <c r="H16" s="81">
        <v>13000000</v>
      </c>
      <c r="I16" s="97">
        <v>1.5471554535385052E-2</v>
      </c>
    </row>
    <row r="17" spans="1:9" x14ac:dyDescent="0.35">
      <c r="A17" s="96" t="s">
        <v>75</v>
      </c>
      <c r="B17" s="77" t="s">
        <v>60</v>
      </c>
      <c r="C17" s="92">
        <v>44044</v>
      </c>
      <c r="D17" s="80">
        <v>44046</v>
      </c>
      <c r="E17" s="80">
        <v>49524</v>
      </c>
      <c r="F17" s="85">
        <f t="shared" si="0"/>
        <v>15</v>
      </c>
      <c r="G17" s="81">
        <f t="shared" si="1"/>
        <v>5479</v>
      </c>
      <c r="H17" s="81">
        <v>24452000</v>
      </c>
      <c r="I17" s="97">
        <v>0.11953052056294515</v>
      </c>
    </row>
    <row r="18" spans="1:9" x14ac:dyDescent="0.35">
      <c r="A18" s="96" t="s">
        <v>76</v>
      </c>
      <c r="B18" s="77" t="s">
        <v>60</v>
      </c>
      <c r="C18" s="92">
        <v>44440</v>
      </c>
      <c r="D18" s="80">
        <v>44562</v>
      </c>
      <c r="E18" s="80">
        <v>52231</v>
      </c>
      <c r="F18" s="85">
        <f t="shared" si="0"/>
        <v>21</v>
      </c>
      <c r="G18" s="81">
        <f t="shared" si="1"/>
        <v>7670</v>
      </c>
      <c r="H18" s="81">
        <v>3123784000</v>
      </c>
      <c r="I18" s="97">
        <v>1.4517141542622654</v>
      </c>
    </row>
    <row r="19" spans="1:9" x14ac:dyDescent="0.35">
      <c r="A19" s="96" t="s">
        <v>77</v>
      </c>
      <c r="B19" s="77" t="s">
        <v>60</v>
      </c>
      <c r="C19" s="92">
        <v>45170</v>
      </c>
      <c r="D19" s="80">
        <v>45264</v>
      </c>
      <c r="E19" s="80">
        <v>50742</v>
      </c>
      <c r="F19" s="85">
        <f t="shared" si="0"/>
        <v>14.997222222222222</v>
      </c>
      <c r="G19" s="81">
        <f t="shared" si="1"/>
        <v>5479</v>
      </c>
      <c r="H19" s="81">
        <v>455570000</v>
      </c>
      <c r="I19" s="97">
        <v>3.790190747736804E-2</v>
      </c>
    </row>
    <row r="20" spans="1:9" x14ac:dyDescent="0.35">
      <c r="A20" s="96" t="s">
        <v>79</v>
      </c>
      <c r="B20" s="77" t="s">
        <v>60</v>
      </c>
      <c r="C20" s="92">
        <v>44470</v>
      </c>
      <c r="D20" s="80">
        <v>44545</v>
      </c>
      <c r="E20" s="80">
        <v>51850</v>
      </c>
      <c r="F20" s="85">
        <f t="shared" si="0"/>
        <v>20</v>
      </c>
      <c r="G20" s="81">
        <f t="shared" si="1"/>
        <v>7306</v>
      </c>
      <c r="H20" s="81">
        <v>327869000</v>
      </c>
      <c r="I20" s="97">
        <v>7.9536889004813316E-2</v>
      </c>
    </row>
    <row r="21" spans="1:9" x14ac:dyDescent="0.35">
      <c r="A21" s="96" t="s">
        <v>80</v>
      </c>
      <c r="B21" s="77" t="s">
        <v>64</v>
      </c>
      <c r="C21" s="92">
        <v>44743</v>
      </c>
      <c r="D21" s="80">
        <v>45901</v>
      </c>
      <c r="E21" s="80">
        <v>53327</v>
      </c>
      <c r="F21" s="85">
        <f t="shared" si="0"/>
        <v>20.333333333333332</v>
      </c>
      <c r="G21" s="81">
        <f t="shared" si="1"/>
        <v>7427</v>
      </c>
      <c r="H21" s="81">
        <v>63610000</v>
      </c>
      <c r="I21" s="97">
        <v>2.9276925750660193E-2</v>
      </c>
    </row>
    <row r="22" spans="1:9" x14ac:dyDescent="0.35">
      <c r="A22" s="96" t="s">
        <v>81</v>
      </c>
      <c r="B22" s="77" t="s">
        <v>60</v>
      </c>
      <c r="C22" s="92">
        <v>44287</v>
      </c>
      <c r="D22" s="80">
        <v>44362</v>
      </c>
      <c r="E22" s="80">
        <v>49841</v>
      </c>
      <c r="F22" s="85">
        <f t="shared" si="0"/>
        <v>15</v>
      </c>
      <c r="G22" s="81">
        <f t="shared" si="1"/>
        <v>5480</v>
      </c>
      <c r="H22" s="81">
        <v>46474000</v>
      </c>
      <c r="I22" s="97">
        <v>5.8234490245841923E-2</v>
      </c>
    </row>
    <row r="23" spans="1:9" x14ac:dyDescent="0.35">
      <c r="A23" s="96" t="s">
        <v>82</v>
      </c>
      <c r="B23" s="77" t="s">
        <v>64</v>
      </c>
      <c r="C23" s="92">
        <v>43252</v>
      </c>
      <c r="D23" s="80">
        <v>43282</v>
      </c>
      <c r="E23" s="80">
        <v>46934</v>
      </c>
      <c r="F23" s="85">
        <f t="shared" si="0"/>
        <v>9.9972222222222218</v>
      </c>
      <c r="G23" s="81">
        <f t="shared" si="1"/>
        <v>3653</v>
      </c>
      <c r="H23" s="81">
        <v>2999500000000</v>
      </c>
      <c r="I23" s="97">
        <v>207.6667239571583</v>
      </c>
    </row>
    <row r="24" spans="1:9" x14ac:dyDescent="0.35">
      <c r="A24" s="96" t="s">
        <v>83</v>
      </c>
      <c r="B24" s="77" t="s">
        <v>62</v>
      </c>
      <c r="C24" s="92">
        <v>43282</v>
      </c>
      <c r="D24" s="80">
        <v>43441</v>
      </c>
      <c r="E24" s="80">
        <v>50745</v>
      </c>
      <c r="F24" s="85">
        <f t="shared" si="0"/>
        <v>19.997222222222224</v>
      </c>
      <c r="G24" s="81">
        <f t="shared" si="1"/>
        <v>7305</v>
      </c>
      <c r="H24" s="81">
        <v>437600000</v>
      </c>
      <c r="I24" s="97">
        <v>4.6754380562793678E-2</v>
      </c>
    </row>
    <row r="25" spans="1:9" x14ac:dyDescent="0.35">
      <c r="A25" s="96" t="s">
        <v>84</v>
      </c>
      <c r="B25" s="77" t="s">
        <v>64</v>
      </c>
      <c r="C25" s="92">
        <v>44105</v>
      </c>
      <c r="D25" s="80">
        <v>44216</v>
      </c>
      <c r="E25" s="80">
        <v>53327</v>
      </c>
      <c r="F25" s="85">
        <f t="shared" si="0"/>
        <v>24.947222222222223</v>
      </c>
      <c r="G25" s="81">
        <f t="shared" si="1"/>
        <v>9112</v>
      </c>
      <c r="H25" s="81">
        <v>1917000006</v>
      </c>
      <c r="I25" s="97">
        <v>0.5786119262318753</v>
      </c>
    </row>
    <row r="26" spans="1:9" x14ac:dyDescent="0.35">
      <c r="A26" s="96" t="s">
        <v>85</v>
      </c>
      <c r="B26" s="77" t="s">
        <v>19</v>
      </c>
      <c r="C26" s="92">
        <v>43191</v>
      </c>
      <c r="D26" s="80">
        <v>43233</v>
      </c>
      <c r="E26" s="80">
        <v>50537</v>
      </c>
      <c r="F26" s="85">
        <f t="shared" si="0"/>
        <v>19.997222222222224</v>
      </c>
      <c r="G26" s="81">
        <f t="shared" si="1"/>
        <v>7305</v>
      </c>
      <c r="H26" s="81">
        <v>1149848000</v>
      </c>
      <c r="I26" s="97">
        <v>0.11534176430584429</v>
      </c>
    </row>
    <row r="27" spans="1:9" x14ac:dyDescent="0.35">
      <c r="A27" s="96" t="s">
        <v>85</v>
      </c>
      <c r="B27" s="77" t="s">
        <v>60</v>
      </c>
      <c r="C27" s="92">
        <v>44256</v>
      </c>
      <c r="D27" s="80">
        <v>44313</v>
      </c>
      <c r="E27" s="80">
        <v>51617</v>
      </c>
      <c r="F27" s="85">
        <f t="shared" si="0"/>
        <v>19.997222222222224</v>
      </c>
      <c r="G27" s="81">
        <f t="shared" si="1"/>
        <v>7305</v>
      </c>
      <c r="H27" s="81">
        <v>512400000</v>
      </c>
      <c r="I27" s="97">
        <v>6.3422213004794586E-2</v>
      </c>
    </row>
    <row r="28" spans="1:9" x14ac:dyDescent="0.35">
      <c r="A28" s="96" t="s">
        <v>86</v>
      </c>
      <c r="B28" s="77" t="s">
        <v>62</v>
      </c>
      <c r="C28" s="92">
        <v>44228</v>
      </c>
      <c r="D28" s="80">
        <v>44636</v>
      </c>
      <c r="E28" s="80">
        <v>50114</v>
      </c>
      <c r="F28" s="85">
        <f t="shared" si="0"/>
        <v>14.997222222222222</v>
      </c>
      <c r="G28" s="81">
        <f t="shared" si="1"/>
        <v>5479</v>
      </c>
      <c r="H28" s="81">
        <v>80862638099</v>
      </c>
      <c r="I28" s="97">
        <v>0.94169766175159753</v>
      </c>
    </row>
    <row r="29" spans="1:9" x14ac:dyDescent="0.35">
      <c r="A29" s="96" t="s">
        <v>86</v>
      </c>
      <c r="B29" s="77" t="s">
        <v>87</v>
      </c>
      <c r="C29" s="92">
        <v>44470</v>
      </c>
      <c r="D29" s="80">
        <v>44595</v>
      </c>
      <c r="E29" s="80">
        <v>50073</v>
      </c>
      <c r="F29" s="85">
        <f t="shared" si="0"/>
        <v>14.997222222222222</v>
      </c>
      <c r="G29" s="81">
        <f t="shared" si="1"/>
        <v>5479</v>
      </c>
      <c r="H29" s="81">
        <v>21888007794</v>
      </c>
      <c r="I29" s="97">
        <v>0.71371997605830317</v>
      </c>
    </row>
    <row r="30" spans="1:9" x14ac:dyDescent="0.35">
      <c r="A30" s="96" t="s">
        <v>88</v>
      </c>
      <c r="B30" s="77" t="s">
        <v>64</v>
      </c>
      <c r="C30" s="92">
        <v>45047</v>
      </c>
      <c r="D30" s="80">
        <v>45115</v>
      </c>
      <c r="E30" s="80">
        <v>54246</v>
      </c>
      <c r="F30" s="85">
        <f t="shared" si="0"/>
        <v>24.997222222222224</v>
      </c>
      <c r="G30" s="81">
        <f t="shared" si="1"/>
        <v>9132</v>
      </c>
      <c r="H30" s="81">
        <v>84225000</v>
      </c>
      <c r="I30" s="97">
        <v>8.1940658327155552E-2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70887-3B1C-4FE0-BA7A-001239A72B53}">
  <sheetPr>
    <tabColor theme="9" tint="0.79998168889431442"/>
  </sheetPr>
  <dimension ref="A1:H38"/>
  <sheetViews>
    <sheetView workbookViewId="0">
      <pane xSplit="3" ySplit="1" topLeftCell="D2" activePane="bottomRight" state="frozen"/>
      <selection pane="topRight" activeCell="D10" sqref="D10"/>
      <selection pane="bottomLeft" activeCell="D10" sqref="D10"/>
      <selection pane="bottomRight" activeCell="G12" sqref="G12"/>
    </sheetView>
  </sheetViews>
  <sheetFormatPr defaultRowHeight="14.5" x14ac:dyDescent="0.35"/>
  <cols>
    <col min="1" max="1" width="20.6328125" customWidth="1"/>
    <col min="2" max="2" width="20.6328125" style="33" customWidth="1"/>
    <col min="3" max="3" width="17.6328125" style="33" customWidth="1"/>
    <col min="4" max="4" width="13.81640625" style="74" customWidth="1"/>
    <col min="5" max="5" width="16.36328125" style="74" customWidth="1"/>
    <col min="6" max="6" width="18.453125" style="74" customWidth="1"/>
    <col min="7" max="7" width="17.36328125" style="74" customWidth="1"/>
    <col min="8" max="8" width="9.1796875" style="30"/>
  </cols>
  <sheetData>
    <row r="1" spans="1:8" s="53" customFormat="1" ht="40" customHeight="1" x14ac:dyDescent="0.35">
      <c r="A1" s="53" t="s">
        <v>48</v>
      </c>
      <c r="B1" s="46" t="s">
        <v>32</v>
      </c>
      <c r="C1" s="46" t="s">
        <v>49</v>
      </c>
      <c r="D1" s="68" t="s">
        <v>90</v>
      </c>
      <c r="E1" s="68" t="s">
        <v>103</v>
      </c>
      <c r="F1" s="68" t="s">
        <v>105</v>
      </c>
      <c r="G1" s="68" t="s">
        <v>106</v>
      </c>
      <c r="H1" s="54"/>
    </row>
    <row r="2" spans="1:8" x14ac:dyDescent="0.35">
      <c r="A2" t="s">
        <v>59</v>
      </c>
      <c r="B2" s="33" t="s">
        <v>60</v>
      </c>
      <c r="C2" s="48">
        <v>43435</v>
      </c>
      <c r="D2" s="74">
        <f t="shared" ref="D2:D30" si="0">IF(MONTH(C2)&lt;7,YEAR(C2),YEAR(C2)+1)</f>
        <v>2019</v>
      </c>
      <c r="E2" s="81">
        <v>3652</v>
      </c>
      <c r="F2" s="97">
        <v>0.28590499647250406</v>
      </c>
      <c r="G2" s="97">
        <f>($F2)*((1-(1/(1+discount_rate!$C$3))^365)/(1-(1/(1+discount_rate!$C$3))^($E2)))</f>
        <v>4.013206017871479E-2</v>
      </c>
      <c r="H2" s="57"/>
    </row>
    <row r="3" spans="1:8" x14ac:dyDescent="0.35">
      <c r="A3" t="s">
        <v>59</v>
      </c>
      <c r="B3" s="33" t="s">
        <v>19</v>
      </c>
      <c r="C3" s="48">
        <v>45231</v>
      </c>
      <c r="D3" s="74">
        <f t="shared" si="0"/>
        <v>2024</v>
      </c>
      <c r="E3" s="81">
        <v>2557</v>
      </c>
      <c r="F3" s="97">
        <v>6.7299999999999999E-2</v>
      </c>
      <c r="G3" s="97">
        <f>($F3)*((1-(1/(1+discount_rate!$C$3))^365)/(1-(1/(1+discount_rate!$C$3))^($E3)))</f>
        <v>1.21082765139998E-2</v>
      </c>
      <c r="H3" s="57"/>
    </row>
    <row r="4" spans="1:8" x14ac:dyDescent="0.35">
      <c r="A4" t="s">
        <v>59</v>
      </c>
      <c r="B4" s="33" t="s">
        <v>62</v>
      </c>
      <c r="C4" s="48">
        <v>45231</v>
      </c>
      <c r="D4" s="74">
        <f t="shared" si="0"/>
        <v>2024</v>
      </c>
      <c r="E4" s="81">
        <v>7305</v>
      </c>
      <c r="F4" s="97">
        <v>0.28870000000000001</v>
      </c>
      <c r="G4" s="97">
        <f>($F4)*((1-(1/(1+discount_rate!$C$3))^365)/(1-(1/(1+discount_rate!$C$3))^($E4)))</f>
        <v>2.8091723297718512E-2</v>
      </c>
      <c r="H4" s="57"/>
    </row>
    <row r="5" spans="1:8" x14ac:dyDescent="0.35">
      <c r="A5" t="s">
        <v>63</v>
      </c>
      <c r="B5" s="33" t="s">
        <v>64</v>
      </c>
      <c r="C5" s="48">
        <v>43525</v>
      </c>
      <c r="D5" s="74">
        <f t="shared" si="0"/>
        <v>2019</v>
      </c>
      <c r="E5" s="81">
        <v>7305</v>
      </c>
      <c r="F5" s="97">
        <v>5.4195907516838338E-2</v>
      </c>
      <c r="G5" s="97">
        <f>($F5)*((1-(1/(1+discount_rate!$C$3))^365)/(1-(1/(1+discount_rate!$C$3))^($E5)))</f>
        <v>5.2734895664418614E-3</v>
      </c>
      <c r="H5" s="57"/>
    </row>
    <row r="6" spans="1:8" x14ac:dyDescent="0.35">
      <c r="A6" t="s">
        <v>65</v>
      </c>
      <c r="B6" s="33" t="s">
        <v>64</v>
      </c>
      <c r="C6" s="48">
        <v>44713</v>
      </c>
      <c r="D6" s="74">
        <f t="shared" si="0"/>
        <v>2022</v>
      </c>
      <c r="E6" s="81">
        <v>6458</v>
      </c>
      <c r="F6" s="97">
        <v>4.8746139995386364E-2</v>
      </c>
      <c r="G6" s="97">
        <f>($F6)*((1-(1/(1+discount_rate!$C$3))^365)/(1-(1/(1+discount_rate!$C$3))^($E6)))</f>
        <v>4.9963553784258315E-3</v>
      </c>
      <c r="H6" s="57"/>
    </row>
    <row r="7" spans="1:8" x14ac:dyDescent="0.35">
      <c r="A7" t="s">
        <v>66</v>
      </c>
      <c r="B7" s="33" t="s">
        <v>64</v>
      </c>
      <c r="C7" s="48">
        <v>44378</v>
      </c>
      <c r="D7" s="74">
        <f t="shared" si="0"/>
        <v>2022</v>
      </c>
      <c r="E7" s="81">
        <v>7305</v>
      </c>
      <c r="F7" s="97">
        <v>1.2895686732857543</v>
      </c>
      <c r="G7" s="97">
        <f>($F7)*((1-(1/(1+discount_rate!$C$3))^365)/(1-(1/(1+discount_rate!$C$3))^($E7)))</f>
        <v>0.12548045148371795</v>
      </c>
      <c r="H7" s="57"/>
    </row>
    <row r="8" spans="1:8" x14ac:dyDescent="0.35">
      <c r="A8" t="s">
        <v>66</v>
      </c>
      <c r="B8" s="33" t="s">
        <v>60</v>
      </c>
      <c r="C8" s="48">
        <v>44927</v>
      </c>
      <c r="D8" s="74">
        <f t="shared" si="0"/>
        <v>2023</v>
      </c>
      <c r="E8" s="81">
        <v>6210</v>
      </c>
      <c r="F8" s="97">
        <v>0.74082382475020914</v>
      </c>
      <c r="G8" s="97">
        <f>($F8)*((1-(1/(1+discount_rate!$C$3))^365)/(1-(1/(1+discount_rate!$C$3))^($E8)))</f>
        <v>7.7295647773362022E-2</v>
      </c>
      <c r="H8" s="57"/>
    </row>
    <row r="9" spans="1:8" x14ac:dyDescent="0.35">
      <c r="A9" t="s">
        <v>66</v>
      </c>
      <c r="B9" s="33" t="s">
        <v>67</v>
      </c>
      <c r="C9" s="48">
        <v>45231</v>
      </c>
      <c r="D9" s="74">
        <f t="shared" si="0"/>
        <v>2024</v>
      </c>
      <c r="E9" s="81">
        <v>7305</v>
      </c>
      <c r="F9" s="97">
        <v>0.24553656682270714</v>
      </c>
      <c r="G9" s="97">
        <f>($F9)*((1-(1/(1+discount_rate!$C$3))^365)/(1-(1/(1+discount_rate!$C$3))^($E9)))</f>
        <v>2.3891739849862349E-2</v>
      </c>
      <c r="H9" s="57"/>
    </row>
    <row r="10" spans="1:8" x14ac:dyDescent="0.35">
      <c r="A10" t="s">
        <v>68</v>
      </c>
      <c r="B10" s="33" t="s">
        <v>60</v>
      </c>
      <c r="C10" s="48">
        <v>44409</v>
      </c>
      <c r="D10" s="74">
        <f t="shared" si="0"/>
        <v>2022</v>
      </c>
      <c r="E10" s="81">
        <v>5479</v>
      </c>
      <c r="F10" s="97">
        <v>1.7281274077570907E-2</v>
      </c>
      <c r="G10" s="97">
        <f>($F10)*((1-(1/(1+discount_rate!$C$3))^365)/(1-(1/(1+discount_rate!$C$3))^($E10)))</f>
        <v>1.916300993853536E-3</v>
      </c>
      <c r="H10" s="57"/>
    </row>
    <row r="11" spans="1:8" x14ac:dyDescent="0.35">
      <c r="A11" t="s">
        <v>69</v>
      </c>
      <c r="B11" s="33" t="s">
        <v>64</v>
      </c>
      <c r="C11" s="48">
        <v>43374</v>
      </c>
      <c r="D11" s="74">
        <f t="shared" si="0"/>
        <v>2019</v>
      </c>
      <c r="E11" s="81">
        <v>5479</v>
      </c>
      <c r="F11" s="97">
        <v>3.607764981342293E-2</v>
      </c>
      <c r="G11" s="97">
        <f>($F11)*((1-(1/(1+discount_rate!$C$3))^365)/(1-(1/(1+discount_rate!$C$3))^($E11)))</f>
        <v>4.0006099019685272E-3</v>
      </c>
      <c r="H11" s="57"/>
    </row>
    <row r="12" spans="1:8" x14ac:dyDescent="0.35">
      <c r="A12" t="s">
        <v>70</v>
      </c>
      <c r="B12" s="33" t="s">
        <v>60</v>
      </c>
      <c r="C12" s="48">
        <v>44105</v>
      </c>
      <c r="D12" s="74">
        <f t="shared" si="0"/>
        <v>2021</v>
      </c>
      <c r="E12" s="81">
        <v>5478</v>
      </c>
      <c r="F12" s="97">
        <v>0.13335637044688381</v>
      </c>
      <c r="G12" s="97">
        <f>($F12)*((1-(1/(1+discount_rate!$C$3))^365)/(1-(1/(1+discount_rate!$C$3))^($E12)))</f>
        <v>1.478911450684537E-2</v>
      </c>
      <c r="H12" s="57"/>
    </row>
    <row r="13" spans="1:8" x14ac:dyDescent="0.35">
      <c r="A13" t="s">
        <v>71</v>
      </c>
      <c r="B13" s="33" t="s">
        <v>60</v>
      </c>
      <c r="C13" s="48">
        <v>43617</v>
      </c>
      <c r="D13" s="74">
        <f t="shared" si="0"/>
        <v>2019</v>
      </c>
      <c r="E13" s="81">
        <v>7791</v>
      </c>
      <c r="F13" s="97">
        <v>0.16750452042438976</v>
      </c>
      <c r="G13" s="97">
        <f>($F13)*((1-(1/(1+discount_rate!$C$3))^365)/(1-(1/(1+discount_rate!$C$3))^($E13)))</f>
        <v>1.5900928317264078E-2</v>
      </c>
      <c r="H13" s="57"/>
    </row>
    <row r="14" spans="1:8" x14ac:dyDescent="0.35">
      <c r="A14" t="s">
        <v>72</v>
      </c>
      <c r="B14" s="33" t="s">
        <v>60</v>
      </c>
      <c r="C14" s="48">
        <v>44166</v>
      </c>
      <c r="D14" s="74">
        <f t="shared" si="0"/>
        <v>2021</v>
      </c>
      <c r="E14" s="81">
        <v>5478</v>
      </c>
      <c r="F14" s="97">
        <v>2.3613695971085941E-2</v>
      </c>
      <c r="G14" s="97">
        <f>($F14)*((1-(1/(1+discount_rate!$C$3))^365)/(1-(1/(1+discount_rate!$C$3))^($E14)))</f>
        <v>2.6187399407763628E-3</v>
      </c>
      <c r="H14" s="57"/>
    </row>
    <row r="15" spans="1:8" x14ac:dyDescent="0.35">
      <c r="A15" t="s">
        <v>73</v>
      </c>
      <c r="B15" s="33" t="s">
        <v>62</v>
      </c>
      <c r="C15" s="48">
        <v>43374</v>
      </c>
      <c r="D15" s="74">
        <f t="shared" si="0"/>
        <v>2019</v>
      </c>
      <c r="E15" s="81">
        <v>6940</v>
      </c>
      <c r="F15" s="97">
        <v>0.35970650308762936</v>
      </c>
      <c r="G15" s="97">
        <f>($F15)*((1-(1/(1+discount_rate!$C$3))^365)/(1-(1/(1+discount_rate!$C$3))^($E15)))</f>
        <v>3.5739523488284637E-2</v>
      </c>
      <c r="H15" s="57"/>
    </row>
    <row r="16" spans="1:8" x14ac:dyDescent="0.35">
      <c r="A16" t="s">
        <v>74</v>
      </c>
      <c r="B16" s="33" t="s">
        <v>64</v>
      </c>
      <c r="C16" s="48">
        <v>44774</v>
      </c>
      <c r="D16" s="74">
        <f t="shared" si="0"/>
        <v>2023</v>
      </c>
      <c r="E16" s="81">
        <v>7306</v>
      </c>
      <c r="F16" s="97">
        <v>1.5471554535385052E-2</v>
      </c>
      <c r="G16" s="97">
        <f>($F16)*((1-(1/(1+discount_rate!$C$3))^365)/(1-(1/(1+discount_rate!$C$3))^($E16)))</f>
        <v>1.5053654822063383E-3</v>
      </c>
      <c r="H16" s="57"/>
    </row>
    <row r="17" spans="1:8" x14ac:dyDescent="0.35">
      <c r="A17" t="s">
        <v>75</v>
      </c>
      <c r="B17" s="33" t="s">
        <v>60</v>
      </c>
      <c r="C17" s="48">
        <v>44044</v>
      </c>
      <c r="D17" s="74">
        <f t="shared" si="0"/>
        <v>2021</v>
      </c>
      <c r="E17" s="81">
        <v>5479</v>
      </c>
      <c r="F17" s="97">
        <v>0.11953052056294515</v>
      </c>
      <c r="G17" s="97">
        <f>($F17)*((1-(1/(1+discount_rate!$C$3))^365)/(1-(1/(1+discount_rate!$C$3))^($E17)))</f>
        <v>1.3254604627091186E-2</v>
      </c>
      <c r="H17" s="57"/>
    </row>
    <row r="18" spans="1:8" x14ac:dyDescent="0.35">
      <c r="A18" t="s">
        <v>76</v>
      </c>
      <c r="B18" s="33" t="s">
        <v>60</v>
      </c>
      <c r="C18" s="48">
        <v>44440</v>
      </c>
      <c r="D18" s="74">
        <f t="shared" si="0"/>
        <v>2022</v>
      </c>
      <c r="E18" s="81">
        <v>7670</v>
      </c>
      <c r="F18" s="97">
        <v>1.4517141542622654</v>
      </c>
      <c r="G18" s="97">
        <f>($F18)*((1-(1/(1+discount_rate!$C$3))^365)/(1-(1/(1+discount_rate!$C$3))^($E18)))</f>
        <v>0.13861748270317853</v>
      </c>
      <c r="H18" s="57"/>
    </row>
    <row r="19" spans="1:8" x14ac:dyDescent="0.35">
      <c r="A19" t="s">
        <v>77</v>
      </c>
      <c r="B19" s="33" t="s">
        <v>60</v>
      </c>
      <c r="C19" s="48">
        <v>45170</v>
      </c>
      <c r="D19" s="74">
        <f t="shared" si="0"/>
        <v>2024</v>
      </c>
      <c r="E19" s="81">
        <v>5479</v>
      </c>
      <c r="F19" s="97">
        <v>3.790190747736804E-2</v>
      </c>
      <c r="G19" s="97">
        <f>($F19)*((1-(1/(1+discount_rate!$C$3))^365)/(1-(1/(1+discount_rate!$C$3))^($E19)))</f>
        <v>4.2028997770536128E-3</v>
      </c>
      <c r="H19" s="57"/>
    </row>
    <row r="20" spans="1:8" x14ac:dyDescent="0.35">
      <c r="A20" t="s">
        <v>79</v>
      </c>
      <c r="B20" s="33" t="s">
        <v>60</v>
      </c>
      <c r="C20" s="48">
        <v>44470</v>
      </c>
      <c r="D20" s="74">
        <f t="shared" si="0"/>
        <v>2022</v>
      </c>
      <c r="E20" s="81">
        <v>7306</v>
      </c>
      <c r="F20" s="97">
        <v>7.9536889004813316E-2</v>
      </c>
      <c r="G20" s="97">
        <f>($F20)*((1-(1/(1+discount_rate!$C$3))^365)/(1-(1/(1+discount_rate!$C$3))^($E20)))</f>
        <v>7.7388530671616143E-3</v>
      </c>
      <c r="H20" s="57"/>
    </row>
    <row r="21" spans="1:8" x14ac:dyDescent="0.35">
      <c r="A21" t="s">
        <v>80</v>
      </c>
      <c r="B21" s="33" t="s">
        <v>64</v>
      </c>
      <c r="C21" s="48">
        <v>44743</v>
      </c>
      <c r="D21" s="74">
        <f t="shared" si="0"/>
        <v>2023</v>
      </c>
      <c r="E21" s="81">
        <v>7427</v>
      </c>
      <c r="F21" s="97">
        <v>2.9276925750660193E-2</v>
      </c>
      <c r="G21" s="97">
        <f>($F21)*((1-(1/(1+discount_rate!$C$3))^365)/(1-(1/(1+discount_rate!$C$3))^($E21)))</f>
        <v>2.8302573706591744E-3</v>
      </c>
      <c r="H21" s="57"/>
    </row>
    <row r="22" spans="1:8" x14ac:dyDescent="0.35">
      <c r="A22" t="s">
        <v>81</v>
      </c>
      <c r="B22" s="33" t="s">
        <v>60</v>
      </c>
      <c r="C22" s="48">
        <v>44287</v>
      </c>
      <c r="D22" s="74">
        <f t="shared" si="0"/>
        <v>2021</v>
      </c>
      <c r="E22" s="81">
        <v>5480</v>
      </c>
      <c r="F22" s="97">
        <v>5.8234490245841923E-2</v>
      </c>
      <c r="G22" s="97">
        <f>($F22)*((1-(1/(1+discount_rate!$C$3))^365)/(1-(1/(1+discount_rate!$C$3))^($E22)))</f>
        <v>6.4569558935676152E-3</v>
      </c>
      <c r="H22" s="57"/>
    </row>
    <row r="23" spans="1:8" x14ac:dyDescent="0.35">
      <c r="A23" t="s">
        <v>82</v>
      </c>
      <c r="B23" s="33" t="s">
        <v>64</v>
      </c>
      <c r="C23" s="48">
        <v>43252</v>
      </c>
      <c r="D23" s="74">
        <f t="shared" si="0"/>
        <v>2018</v>
      </c>
      <c r="E23" s="81">
        <v>3653</v>
      </c>
      <c r="F23" s="97">
        <v>207.6667239571583</v>
      </c>
      <c r="G23" s="97">
        <f>($F23)*((1-(1/(1+discount_rate!$C$3))^365)/(1-(1/(1+discount_rate!$C$3))^($E23)))</f>
        <v>29.144706114406333</v>
      </c>
      <c r="H23" s="57"/>
    </row>
    <row r="24" spans="1:8" x14ac:dyDescent="0.35">
      <c r="A24" t="s">
        <v>83</v>
      </c>
      <c r="B24" s="33" t="s">
        <v>62</v>
      </c>
      <c r="C24" s="48">
        <v>43282</v>
      </c>
      <c r="D24" s="74">
        <f t="shared" si="0"/>
        <v>2019</v>
      </c>
      <c r="E24" s="81">
        <v>7305</v>
      </c>
      <c r="F24" s="97">
        <v>4.6754380562793678E-2</v>
      </c>
      <c r="G24" s="97">
        <f>($F24)*((1-(1/(1+discount_rate!$C$3))^365)/(1-(1/(1+discount_rate!$C$3))^($E24)))</f>
        <v>4.5493977198691679E-3</v>
      </c>
      <c r="H24" s="57"/>
    </row>
    <row r="25" spans="1:8" x14ac:dyDescent="0.35">
      <c r="A25" t="s">
        <v>84</v>
      </c>
      <c r="B25" s="33" t="s">
        <v>64</v>
      </c>
      <c r="C25" s="48">
        <v>44105</v>
      </c>
      <c r="D25" s="74">
        <f t="shared" si="0"/>
        <v>2021</v>
      </c>
      <c r="E25" s="81">
        <v>9112</v>
      </c>
      <c r="F25" s="97">
        <v>0.5786119262318753</v>
      </c>
      <c r="G25" s="97">
        <f>($F25)*((1-(1/(1+discount_rate!$C$3))^365)/(1-(1/(1+discount_rate!$C$3))^($E25)))</f>
        <v>5.2092128083403279E-2</v>
      </c>
      <c r="H25" s="57"/>
    </row>
    <row r="26" spans="1:8" x14ac:dyDescent="0.35">
      <c r="A26" t="s">
        <v>85</v>
      </c>
      <c r="B26" s="33" t="s">
        <v>19</v>
      </c>
      <c r="C26" s="48">
        <v>43191</v>
      </c>
      <c r="D26" s="74">
        <f t="shared" si="0"/>
        <v>2018</v>
      </c>
      <c r="E26" s="81">
        <v>7305</v>
      </c>
      <c r="F26" s="97">
        <v>0.11534176430584429</v>
      </c>
      <c r="G26" s="97">
        <f>($F26)*((1-(1/(1+discount_rate!$C$3))^365)/(1-(1/(1+discount_rate!$C$3))^($E26)))</f>
        <v>1.1223238405093327E-2</v>
      </c>
      <c r="H26" s="57"/>
    </row>
    <row r="27" spans="1:8" x14ac:dyDescent="0.35">
      <c r="A27" t="s">
        <v>85</v>
      </c>
      <c r="B27" s="33" t="s">
        <v>60</v>
      </c>
      <c r="C27" s="48">
        <v>44256</v>
      </c>
      <c r="D27" s="74">
        <f t="shared" si="0"/>
        <v>2021</v>
      </c>
      <c r="E27" s="81">
        <v>7305</v>
      </c>
      <c r="F27" s="97">
        <v>6.3422213004794586E-2</v>
      </c>
      <c r="G27" s="97">
        <f>($F27)*((1-(1/(1+discount_rate!$C$3))^365)/(1-(1/(1+discount_rate!$C$3))^($E27)))</f>
        <v>6.1712478651183029E-3</v>
      </c>
      <c r="H27" s="57"/>
    </row>
    <row r="28" spans="1:8" x14ac:dyDescent="0.35">
      <c r="A28" t="s">
        <v>86</v>
      </c>
      <c r="B28" s="33" t="s">
        <v>62</v>
      </c>
      <c r="C28" s="48">
        <v>44228</v>
      </c>
      <c r="D28" s="74">
        <f t="shared" si="0"/>
        <v>2021</v>
      </c>
      <c r="E28" s="81">
        <v>5479</v>
      </c>
      <c r="F28" s="97">
        <v>0.94169766175159753</v>
      </c>
      <c r="G28" s="97">
        <f>($F28)*((1-(1/(1+discount_rate!$C$3))^365)/(1-(1/(1+discount_rate!$C$3))^($E28)))</f>
        <v>0.10442379173108933</v>
      </c>
      <c r="H28" s="57"/>
    </row>
    <row r="29" spans="1:8" x14ac:dyDescent="0.35">
      <c r="A29" t="s">
        <v>86</v>
      </c>
      <c r="B29" s="33" t="s">
        <v>87</v>
      </c>
      <c r="C29" s="48">
        <v>44470</v>
      </c>
      <c r="D29" s="74">
        <f t="shared" si="0"/>
        <v>2022</v>
      </c>
      <c r="E29" s="81">
        <v>5479</v>
      </c>
      <c r="F29" s="97">
        <v>0.71371997605830317</v>
      </c>
      <c r="G29" s="97">
        <f>($F29)*((1-(1/(1+discount_rate!$C$3))^365)/(1-(1/(1+discount_rate!$C$3))^($E29)))</f>
        <v>7.9143603261796966E-2</v>
      </c>
      <c r="H29" s="57"/>
    </row>
    <row r="30" spans="1:8" x14ac:dyDescent="0.35">
      <c r="A30" t="s">
        <v>88</v>
      </c>
      <c r="B30" s="33" t="s">
        <v>64</v>
      </c>
      <c r="C30" s="48">
        <v>45047</v>
      </c>
      <c r="D30" s="74">
        <f t="shared" si="0"/>
        <v>2023</v>
      </c>
      <c r="E30" s="81">
        <v>9132</v>
      </c>
      <c r="F30" s="97">
        <v>8.1940658327155552E-2</v>
      </c>
      <c r="G30" s="97">
        <f>($F30)*((1-(1/(1+discount_rate!$C$3))^365)/(1-(1/(1+discount_rate!$C$3))^($E30)))</f>
        <v>7.3721332036457039E-3</v>
      </c>
      <c r="H30" s="57"/>
    </row>
    <row r="31" spans="1:8" x14ac:dyDescent="0.35">
      <c r="F31" s="97"/>
      <c r="G31" s="97"/>
    </row>
    <row r="32" spans="1:8" x14ac:dyDescent="0.35">
      <c r="F32" s="97"/>
      <c r="G32" s="97"/>
    </row>
    <row r="33" spans="6:7" x14ac:dyDescent="0.35">
      <c r="F33" s="97"/>
      <c r="G33" s="97"/>
    </row>
    <row r="34" spans="6:7" x14ac:dyDescent="0.35">
      <c r="F34" s="97"/>
      <c r="G34" s="97"/>
    </row>
    <row r="35" spans="6:7" x14ac:dyDescent="0.35">
      <c r="F35" s="97"/>
      <c r="G35" s="97"/>
    </row>
    <row r="36" spans="6:7" x14ac:dyDescent="0.35">
      <c r="F36" s="97"/>
      <c r="G36" s="97"/>
    </row>
    <row r="37" spans="6:7" x14ac:dyDescent="0.35">
      <c r="F37" s="97"/>
      <c r="G37" s="97"/>
    </row>
    <row r="38" spans="6:7" x14ac:dyDescent="0.35">
      <c r="F38" s="97"/>
      <c r="G38" s="97"/>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BEC62-2962-4A95-ADFC-9B17AC954507}">
  <sheetPr>
    <tabColor theme="9" tint="0.79998168889431442"/>
  </sheetPr>
  <dimension ref="A1:H38"/>
  <sheetViews>
    <sheetView workbookViewId="0">
      <pane xSplit="3" ySplit="1" topLeftCell="D2" activePane="bottomRight" state="frozen"/>
      <selection pane="topRight" activeCell="D10" sqref="D10"/>
      <selection pane="bottomLeft" activeCell="D10" sqref="D10"/>
      <selection pane="bottomRight" activeCell="E11" sqref="E11"/>
    </sheetView>
  </sheetViews>
  <sheetFormatPr defaultRowHeight="14.5" x14ac:dyDescent="0.35"/>
  <cols>
    <col min="1" max="1" width="20.6328125" customWidth="1"/>
    <col min="2" max="2" width="20.6328125" style="33" customWidth="1"/>
    <col min="3" max="3" width="17.6328125" style="33" customWidth="1"/>
    <col min="4" max="4" width="13.81640625" style="74" customWidth="1"/>
    <col min="5" max="5" width="17.81640625" style="74" customWidth="1"/>
    <col min="6" max="6" width="18.453125" style="74" customWidth="1"/>
    <col min="7" max="7" width="18.7265625" style="74" customWidth="1"/>
    <col min="8" max="8" width="9.1796875" style="30"/>
  </cols>
  <sheetData>
    <row r="1" spans="1:8" s="53" customFormat="1" ht="40" customHeight="1" x14ac:dyDescent="0.35">
      <c r="A1" s="53" t="s">
        <v>48</v>
      </c>
      <c r="B1" s="46" t="s">
        <v>32</v>
      </c>
      <c r="C1" s="46" t="s">
        <v>49</v>
      </c>
      <c r="D1" s="68" t="s">
        <v>90</v>
      </c>
      <c r="E1" s="68" t="s">
        <v>106</v>
      </c>
      <c r="F1" s="68" t="s">
        <v>107</v>
      </c>
      <c r="G1" s="68" t="s">
        <v>108</v>
      </c>
      <c r="H1" s="54"/>
    </row>
    <row r="2" spans="1:8" x14ac:dyDescent="0.35">
      <c r="A2" t="s">
        <v>59</v>
      </c>
      <c r="B2" s="33" t="s">
        <v>60</v>
      </c>
      <c r="C2" s="48">
        <v>43435</v>
      </c>
      <c r="D2" s="74">
        <f t="shared" ref="D2:D30" si="0">IF(MONTH(C2)&lt;7,YEAR(C2),YEAR(C2)+1)</f>
        <v>2019</v>
      </c>
      <c r="E2" s="97">
        <v>4.013206017871479E-2</v>
      </c>
      <c r="F2" s="97">
        <f>$E2/exchange_rates!K2</f>
        <v>4.013206017871479E-2</v>
      </c>
      <c r="G2" s="97">
        <f>$E2/exchange_rates!L2</f>
        <v>4.013206017871479E-2</v>
      </c>
      <c r="H2" s="57"/>
    </row>
    <row r="3" spans="1:8" x14ac:dyDescent="0.35">
      <c r="A3" t="s">
        <v>59</v>
      </c>
      <c r="B3" s="33" t="s">
        <v>19</v>
      </c>
      <c r="C3" s="48">
        <v>45231</v>
      </c>
      <c r="D3" s="74">
        <f t="shared" si="0"/>
        <v>2024</v>
      </c>
      <c r="E3" s="97">
        <v>1.21082765139998E-2</v>
      </c>
      <c r="F3" s="97">
        <f>$E3/exchange_rates!K3</f>
        <v>1.21082765139998E-2</v>
      </c>
      <c r="G3" s="97">
        <f>$E3/exchange_rates!L3</f>
        <v>1.21082765139998E-2</v>
      </c>
      <c r="H3" s="57"/>
    </row>
    <row r="4" spans="1:8" x14ac:dyDescent="0.35">
      <c r="A4" t="s">
        <v>59</v>
      </c>
      <c r="B4" s="33" t="s">
        <v>62</v>
      </c>
      <c r="C4" s="48">
        <v>45231</v>
      </c>
      <c r="D4" s="74">
        <f t="shared" si="0"/>
        <v>2024</v>
      </c>
      <c r="E4" s="97">
        <v>2.8091723297718512E-2</v>
      </c>
      <c r="F4" s="97">
        <f>$E4/exchange_rates!K4</f>
        <v>2.8091723297718512E-2</v>
      </c>
      <c r="G4" s="97">
        <f>$E4/exchange_rates!L4</f>
        <v>2.8091723297718512E-2</v>
      </c>
      <c r="H4" s="57"/>
    </row>
    <row r="5" spans="1:8" x14ac:dyDescent="0.35">
      <c r="A5" t="s">
        <v>63</v>
      </c>
      <c r="B5" s="33" t="s">
        <v>64</v>
      </c>
      <c r="C5" s="48">
        <v>43525</v>
      </c>
      <c r="D5" s="74">
        <f t="shared" si="0"/>
        <v>2019</v>
      </c>
      <c r="E5" s="97">
        <v>5.2734895664418614E-3</v>
      </c>
      <c r="F5" s="97">
        <f>$E5/exchange_rates!K5</f>
        <v>8.4937365768834594E-3</v>
      </c>
      <c r="G5" s="97">
        <f>$E5/exchange_rates!L5</f>
        <v>1.0422622167668453E-2</v>
      </c>
      <c r="H5" s="57"/>
    </row>
    <row r="6" spans="1:8" x14ac:dyDescent="0.35">
      <c r="A6" t="s">
        <v>65</v>
      </c>
      <c r="B6" s="33" t="s">
        <v>64</v>
      </c>
      <c r="C6" s="48">
        <v>44713</v>
      </c>
      <c r="D6" s="74">
        <f t="shared" si="0"/>
        <v>2022</v>
      </c>
      <c r="E6" s="97">
        <v>4.9963553784258315E-3</v>
      </c>
      <c r="F6" s="97">
        <f>$E6/exchange_rates!K6</f>
        <v>7.583513949669286E-3</v>
      </c>
      <c r="G6" s="97">
        <f>$E6/exchange_rates!L6</f>
        <v>9.8692049874090134E-3</v>
      </c>
      <c r="H6" s="57"/>
    </row>
    <row r="7" spans="1:8" x14ac:dyDescent="0.35">
      <c r="A7" t="s">
        <v>66</v>
      </c>
      <c r="B7" s="33" t="s">
        <v>64</v>
      </c>
      <c r="C7" s="48">
        <v>44378</v>
      </c>
      <c r="D7" s="74">
        <f t="shared" si="0"/>
        <v>2022</v>
      </c>
      <c r="E7" s="97">
        <v>0.12548045148371795</v>
      </c>
      <c r="F7" s="97">
        <f>$E7/exchange_rates!K7</f>
        <v>0.13322090935217734</v>
      </c>
      <c r="G7" s="97">
        <f>$E7/exchange_rates!L7</f>
        <v>0.15064419264897852</v>
      </c>
      <c r="H7" s="57"/>
    </row>
    <row r="8" spans="1:8" x14ac:dyDescent="0.35">
      <c r="A8" t="s">
        <v>66</v>
      </c>
      <c r="B8" s="33" t="s">
        <v>60</v>
      </c>
      <c r="C8" s="48">
        <v>44927</v>
      </c>
      <c r="D8" s="74">
        <f t="shared" si="0"/>
        <v>2023</v>
      </c>
      <c r="E8" s="97">
        <v>7.7295647773362022E-2</v>
      </c>
      <c r="F8" s="97">
        <f>$E8/exchange_rates!K8</f>
        <v>8.6187105499375527E-2</v>
      </c>
      <c r="G8" s="97">
        <f>$E8/exchange_rates!L8</f>
        <v>9.1910049076235067E-2</v>
      </c>
      <c r="H8" s="57"/>
    </row>
    <row r="9" spans="1:8" x14ac:dyDescent="0.35">
      <c r="A9" t="s">
        <v>66</v>
      </c>
      <c r="B9" s="33" t="s">
        <v>67</v>
      </c>
      <c r="C9" s="48">
        <v>45231</v>
      </c>
      <c r="D9" s="74">
        <f t="shared" si="0"/>
        <v>2024</v>
      </c>
      <c r="E9" s="97">
        <v>2.3891739849862349E-2</v>
      </c>
      <c r="F9" s="97">
        <f>$E9/exchange_rates!K9</f>
        <v>2.6640049761163367E-2</v>
      </c>
      <c r="G9" s="97">
        <f>$E9/exchange_rates!L9</f>
        <v>2.8408986086203E-2</v>
      </c>
      <c r="H9" s="57"/>
    </row>
    <row r="10" spans="1:8" x14ac:dyDescent="0.35">
      <c r="A10" t="s">
        <v>68</v>
      </c>
      <c r="B10" s="33" t="s">
        <v>60</v>
      </c>
      <c r="C10" s="48">
        <v>44409</v>
      </c>
      <c r="D10" s="74">
        <f t="shared" si="0"/>
        <v>2022</v>
      </c>
      <c r="E10" s="97">
        <v>1.916300993853536E-3</v>
      </c>
      <c r="F10" s="97">
        <f>$E10/exchange_rates!K10</f>
        <v>3.0204704962805101E-3</v>
      </c>
      <c r="G10" s="97">
        <f>$E10/exchange_rates!L10</f>
        <v>6.6623768124724767E-3</v>
      </c>
      <c r="H10" s="57"/>
    </row>
    <row r="11" spans="1:8" x14ac:dyDescent="0.35">
      <c r="A11" t="s">
        <v>69</v>
      </c>
      <c r="B11" s="33" t="s">
        <v>64</v>
      </c>
      <c r="C11" s="48">
        <v>43374</v>
      </c>
      <c r="D11" s="74">
        <f t="shared" si="0"/>
        <v>2019</v>
      </c>
      <c r="E11" s="97">
        <v>4.0006099019685272E-3</v>
      </c>
      <c r="F11" s="97">
        <f>$E11/exchange_rates!K11</f>
        <v>6.326488215525893E-3</v>
      </c>
      <c r="G11" s="97">
        <f>$E11/exchange_rates!L11</f>
        <v>6.8902329283934893E-3</v>
      </c>
      <c r="H11" s="57"/>
    </row>
    <row r="12" spans="1:8" x14ac:dyDescent="0.35">
      <c r="A12" t="s">
        <v>70</v>
      </c>
      <c r="B12" s="33" t="s">
        <v>60</v>
      </c>
      <c r="C12" s="48">
        <v>44105</v>
      </c>
      <c r="D12" s="74">
        <f t="shared" si="0"/>
        <v>2021</v>
      </c>
      <c r="E12" s="97">
        <v>1.478911450684537E-2</v>
      </c>
      <c r="F12" s="97">
        <f>$E12/exchange_rates!K12</f>
        <v>2.4505852757753899E-2</v>
      </c>
      <c r="G12" s="97">
        <f>$E12/exchange_rates!L12</f>
        <v>3.0539748078009066E-2</v>
      </c>
      <c r="H12" s="57"/>
    </row>
    <row r="13" spans="1:8" x14ac:dyDescent="0.35">
      <c r="A13" t="s">
        <v>71</v>
      </c>
      <c r="B13" s="33" t="s">
        <v>60</v>
      </c>
      <c r="C13" s="48">
        <v>43617</v>
      </c>
      <c r="D13" s="74">
        <f t="shared" si="0"/>
        <v>2019</v>
      </c>
      <c r="E13" s="97">
        <v>1.5900928317264078E-2</v>
      </c>
      <c r="F13" s="97">
        <f>$E13/exchange_rates!K13</f>
        <v>2.5610801870965802E-2</v>
      </c>
      <c r="G13" s="97">
        <f>$E13/exchange_rates!L13</f>
        <v>3.2328302321510502E-2</v>
      </c>
      <c r="H13" s="57"/>
    </row>
    <row r="14" spans="1:8" x14ac:dyDescent="0.35">
      <c r="A14" t="s">
        <v>72</v>
      </c>
      <c r="B14" s="33" t="s">
        <v>60</v>
      </c>
      <c r="C14" s="48">
        <v>44166</v>
      </c>
      <c r="D14" s="74">
        <f t="shared" si="0"/>
        <v>2021</v>
      </c>
      <c r="E14" s="97">
        <v>2.6187399407763628E-3</v>
      </c>
      <c r="F14" s="97">
        <f>$E14/exchange_rates!K14</f>
        <v>4.3393034363085475E-3</v>
      </c>
      <c r="G14" s="97">
        <f>$E14/exchange_rates!L14</f>
        <v>7.0680559015660919E-3</v>
      </c>
      <c r="H14" s="57"/>
    </row>
    <row r="15" spans="1:8" x14ac:dyDescent="0.35">
      <c r="A15" t="s">
        <v>73</v>
      </c>
      <c r="B15" s="33" t="s">
        <v>62</v>
      </c>
      <c r="C15" s="48">
        <v>43374</v>
      </c>
      <c r="D15" s="74">
        <f t="shared" si="0"/>
        <v>2019</v>
      </c>
      <c r="E15" s="97">
        <v>3.5739523488284637E-2</v>
      </c>
      <c r="F15" s="97">
        <f>$E15/exchange_rates!K15</f>
        <v>5.6517800964769591E-2</v>
      </c>
      <c r="G15" s="97">
        <f>$E15/exchange_rates!L15</f>
        <v>7.7143330640725205E-2</v>
      </c>
      <c r="H15" s="57"/>
    </row>
    <row r="16" spans="1:8" x14ac:dyDescent="0.35">
      <c r="A16" t="s">
        <v>74</v>
      </c>
      <c r="B16" s="33" t="s">
        <v>64</v>
      </c>
      <c r="C16" s="48">
        <v>44774</v>
      </c>
      <c r="D16" s="74">
        <f t="shared" si="0"/>
        <v>2023</v>
      </c>
      <c r="E16" s="97">
        <v>1.5053654822063383E-3</v>
      </c>
      <c r="F16" s="97">
        <f>$E16/exchange_rates!K16</f>
        <v>2.2848575149310431E-3</v>
      </c>
      <c r="G16" s="97">
        <f>$E16/exchange_rates!L16</f>
        <v>4.4230525053213857E-3</v>
      </c>
      <c r="H16" s="57"/>
    </row>
    <row r="17" spans="1:8" x14ac:dyDescent="0.35">
      <c r="A17" t="s">
        <v>75</v>
      </c>
      <c r="B17" s="33" t="s">
        <v>60</v>
      </c>
      <c r="C17" s="48">
        <v>44044</v>
      </c>
      <c r="D17" s="74">
        <f t="shared" si="0"/>
        <v>2021</v>
      </c>
      <c r="E17" s="97">
        <v>1.3254604627091186E-2</v>
      </c>
      <c r="F17" s="97">
        <f>$E17/exchange_rates!K17</f>
        <v>2.1963139794704701E-2</v>
      </c>
      <c r="G17" s="97">
        <f>$E17/exchange_rates!L17</f>
        <v>2.2632259303000737E-2</v>
      </c>
      <c r="H17" s="57"/>
    </row>
    <row r="18" spans="1:8" x14ac:dyDescent="0.35">
      <c r="A18" t="s">
        <v>76</v>
      </c>
      <c r="B18" s="33" t="s">
        <v>60</v>
      </c>
      <c r="C18" s="48">
        <v>44440</v>
      </c>
      <c r="D18" s="74">
        <f t="shared" si="0"/>
        <v>2022</v>
      </c>
      <c r="E18" s="97">
        <v>0.13861748270317853</v>
      </c>
      <c r="F18" s="97">
        <f>$E18/exchange_rates!K18</f>
        <v>2.1482067028534155E-2</v>
      </c>
      <c r="G18" s="97">
        <f>$E18/exchange_rates!L18</f>
        <v>2.1912083131980852E-2</v>
      </c>
      <c r="H18" s="57"/>
    </row>
    <row r="19" spans="1:8" x14ac:dyDescent="0.35">
      <c r="A19" t="s">
        <v>77</v>
      </c>
      <c r="B19" s="33" t="s">
        <v>60</v>
      </c>
      <c r="C19" s="48">
        <v>45170</v>
      </c>
      <c r="D19" s="74">
        <f t="shared" si="0"/>
        <v>2024</v>
      </c>
      <c r="E19" s="97">
        <v>4.2028997770536128E-3</v>
      </c>
      <c r="F19" s="97">
        <f>$E19/exchange_rates!K19</f>
        <v>6.8387127351239099E-3</v>
      </c>
      <c r="G19" s="97">
        <f>$E19/exchange_rates!L19</f>
        <v>1.4138195923557502E-2</v>
      </c>
      <c r="H19" s="57"/>
    </row>
    <row r="20" spans="1:8" x14ac:dyDescent="0.35">
      <c r="A20" t="s">
        <v>79</v>
      </c>
      <c r="B20" s="33" t="s">
        <v>60</v>
      </c>
      <c r="C20" s="48">
        <v>44470</v>
      </c>
      <c r="D20" s="74">
        <f t="shared" si="0"/>
        <v>2022</v>
      </c>
      <c r="E20" s="97">
        <v>7.7388530671616143E-3</v>
      </c>
      <c r="F20" s="97">
        <f>$E20/exchange_rates!K20</f>
        <v>1.219796756323039E-2</v>
      </c>
      <c r="G20" s="97">
        <f>$E20/exchange_rates!L20</f>
        <v>2.0392318085046969E-2</v>
      </c>
      <c r="H20" s="57"/>
    </row>
    <row r="21" spans="1:8" x14ac:dyDescent="0.35">
      <c r="A21" t="s">
        <v>80</v>
      </c>
      <c r="B21" s="33" t="s">
        <v>64</v>
      </c>
      <c r="C21" s="48">
        <v>44743</v>
      </c>
      <c r="D21" s="74">
        <f t="shared" si="0"/>
        <v>2023</v>
      </c>
      <c r="E21" s="97">
        <v>2.8302573706591744E-3</v>
      </c>
      <c r="F21" s="97">
        <f>$E21/exchange_rates!K21</f>
        <v>4.2957905564976967E-3</v>
      </c>
      <c r="G21" s="97">
        <f>$E21/exchange_rates!L21</f>
        <v>7.890281181970037E-3</v>
      </c>
      <c r="H21" s="57"/>
    </row>
    <row r="22" spans="1:8" x14ac:dyDescent="0.35">
      <c r="A22" t="s">
        <v>81</v>
      </c>
      <c r="B22" s="33" t="s">
        <v>60</v>
      </c>
      <c r="C22" s="48">
        <v>44287</v>
      </c>
      <c r="D22" s="74">
        <f t="shared" si="0"/>
        <v>2021</v>
      </c>
      <c r="E22" s="97">
        <v>6.4569558935676152E-3</v>
      </c>
      <c r="F22" s="97">
        <f>$E22/exchange_rates!K22</f>
        <v>1.0177443332159629E-2</v>
      </c>
      <c r="G22" s="97">
        <f>$E22/exchange_rates!L22</f>
        <v>1.7152784015854416E-2</v>
      </c>
      <c r="H22" s="57"/>
    </row>
    <row r="23" spans="1:8" x14ac:dyDescent="0.35">
      <c r="A23" t="s">
        <v>82</v>
      </c>
      <c r="B23" s="33" t="s">
        <v>64</v>
      </c>
      <c r="C23" s="48">
        <v>43252</v>
      </c>
      <c r="D23" s="74">
        <f t="shared" si="0"/>
        <v>2018</v>
      </c>
      <c r="E23" s="97">
        <v>29.144706114406333</v>
      </c>
      <c r="F23" s="97">
        <f>$E23/exchange_rates!K23</f>
        <v>3.5456215897027438E-2</v>
      </c>
      <c r="G23" s="97">
        <f>$E23/exchange_rates!L23</f>
        <v>5.0129719458541444E-2</v>
      </c>
      <c r="H23" s="57"/>
    </row>
    <row r="24" spans="1:8" x14ac:dyDescent="0.35">
      <c r="A24" t="s">
        <v>83</v>
      </c>
      <c r="B24" s="33" t="s">
        <v>62</v>
      </c>
      <c r="C24" s="48">
        <v>43282</v>
      </c>
      <c r="D24" s="74">
        <f t="shared" si="0"/>
        <v>2019</v>
      </c>
      <c r="E24" s="97">
        <v>4.5493977198691679E-3</v>
      </c>
      <c r="F24" s="97">
        <f>$E24/exchange_rates!K24</f>
        <v>7.194330806492886E-3</v>
      </c>
      <c r="G24" s="97">
        <f>$E24/exchange_rates!L24</f>
        <v>1.0587953832536324E-2</v>
      </c>
      <c r="H24" s="57"/>
    </row>
    <row r="25" spans="1:8" x14ac:dyDescent="0.35">
      <c r="A25" t="s">
        <v>84</v>
      </c>
      <c r="B25" s="33" t="s">
        <v>64</v>
      </c>
      <c r="C25" s="48">
        <v>44105</v>
      </c>
      <c r="D25" s="74">
        <f t="shared" si="0"/>
        <v>2021</v>
      </c>
      <c r="E25" s="97">
        <v>5.2092128083403279E-2</v>
      </c>
      <c r="F25" s="97">
        <f>$E25/exchange_rates!K25</f>
        <v>8.218431745760103E-3</v>
      </c>
      <c r="G25" s="97">
        <f>$E25/exchange_rates!L25</f>
        <v>8.8378046492665965E-3</v>
      </c>
      <c r="H25" s="57"/>
    </row>
    <row r="26" spans="1:8" x14ac:dyDescent="0.35">
      <c r="A26" t="s">
        <v>85</v>
      </c>
      <c r="B26" s="33" t="s">
        <v>19</v>
      </c>
      <c r="C26" s="48">
        <v>43191</v>
      </c>
      <c r="D26" s="74">
        <f t="shared" si="0"/>
        <v>2018</v>
      </c>
      <c r="E26" s="97">
        <v>1.1223238405093327E-2</v>
      </c>
      <c r="F26" s="97">
        <f>$E26/exchange_rates!K26</f>
        <v>2.0040942638432941E-2</v>
      </c>
      <c r="G26" s="97">
        <f>$E26/exchange_rates!L26</f>
        <v>2.399643372181523E-2</v>
      </c>
      <c r="H26" s="57"/>
    </row>
    <row r="27" spans="1:8" x14ac:dyDescent="0.35">
      <c r="A27" t="s">
        <v>85</v>
      </c>
      <c r="B27" s="33" t="s">
        <v>60</v>
      </c>
      <c r="C27" s="48">
        <v>44256</v>
      </c>
      <c r="D27" s="74">
        <f t="shared" si="0"/>
        <v>2021</v>
      </c>
      <c r="E27" s="97">
        <v>6.1712478651183029E-3</v>
      </c>
      <c r="F27" s="97">
        <f>$E27/exchange_rates!K27</f>
        <v>1.1299286164032819E-2</v>
      </c>
      <c r="G27" s="97">
        <f>$E27/exchange_rates!L27</f>
        <v>1.3556762546673248E-2</v>
      </c>
      <c r="H27" s="57"/>
    </row>
    <row r="28" spans="1:8" x14ac:dyDescent="0.35">
      <c r="A28" t="s">
        <v>86</v>
      </c>
      <c r="B28" s="33" t="s">
        <v>62</v>
      </c>
      <c r="C28" s="48">
        <v>44228</v>
      </c>
      <c r="D28" s="74">
        <f t="shared" si="0"/>
        <v>2021</v>
      </c>
      <c r="E28" s="97">
        <v>0.10442379173108933</v>
      </c>
      <c r="F28" s="97">
        <f>$E28/exchange_rates!K28</f>
        <v>0.13901148482879586</v>
      </c>
      <c r="G28" s="97">
        <f>$E28/exchange_rates!L28</f>
        <v>0.14793541054097481</v>
      </c>
      <c r="H28" s="57"/>
    </row>
    <row r="29" spans="1:8" x14ac:dyDescent="0.35">
      <c r="A29" t="s">
        <v>86</v>
      </c>
      <c r="B29" s="33" t="s">
        <v>87</v>
      </c>
      <c r="C29" s="48">
        <v>44470</v>
      </c>
      <c r="D29" s="74">
        <f t="shared" si="0"/>
        <v>2022</v>
      </c>
      <c r="E29" s="97">
        <v>7.9143603261796966E-2</v>
      </c>
      <c r="F29" s="97">
        <f>$E29/exchange_rates!K29</f>
        <v>0.1053578846519516</v>
      </c>
      <c r="G29" s="97">
        <f>$E29/exchange_rates!L29</f>
        <v>0.11212139729973231</v>
      </c>
      <c r="H29" s="57"/>
    </row>
    <row r="30" spans="1:8" x14ac:dyDescent="0.35">
      <c r="A30" t="s">
        <v>88</v>
      </c>
      <c r="B30" s="33" t="s">
        <v>64</v>
      </c>
      <c r="C30" s="48">
        <v>45047</v>
      </c>
      <c r="D30" s="74">
        <f t="shared" si="0"/>
        <v>2023</v>
      </c>
      <c r="E30" s="97">
        <v>7.3721332036457039E-3</v>
      </c>
      <c r="F30" s="97">
        <f>$E30/exchange_rates!K30</f>
        <v>1.1096469032578143E-2</v>
      </c>
      <c r="G30" s="97">
        <f>$E30/exchange_rates!L30</f>
        <v>1.5487804041108787E-2</v>
      </c>
      <c r="H30" s="57"/>
    </row>
    <row r="31" spans="1:8" x14ac:dyDescent="0.35">
      <c r="E31" s="97"/>
      <c r="F31" s="97"/>
      <c r="G31" s="97"/>
    </row>
    <row r="32" spans="1:8" x14ac:dyDescent="0.35">
      <c r="E32" s="97"/>
      <c r="F32" s="97"/>
      <c r="G32" s="97"/>
    </row>
    <row r="33" spans="5:7" x14ac:dyDescent="0.35">
      <c r="E33" s="97"/>
      <c r="F33" s="97"/>
      <c r="G33" s="97"/>
    </row>
    <row r="34" spans="5:7" x14ac:dyDescent="0.35">
      <c r="E34" s="97"/>
      <c r="F34" s="97"/>
      <c r="G34" s="97"/>
    </row>
    <row r="35" spans="5:7" x14ac:dyDescent="0.35">
      <c r="E35" s="97"/>
      <c r="F35" s="97"/>
      <c r="G35" s="97"/>
    </row>
    <row r="36" spans="5:7" x14ac:dyDescent="0.35">
      <c r="E36" s="97"/>
      <c r="F36" s="97"/>
      <c r="G36" s="97"/>
    </row>
    <row r="37" spans="5:7" x14ac:dyDescent="0.35">
      <c r="E37" s="97"/>
      <c r="F37" s="97"/>
      <c r="G37" s="97"/>
    </row>
    <row r="38" spans="5:7" x14ac:dyDescent="0.35">
      <c r="E38" s="97"/>
      <c r="F38" s="97"/>
      <c r="G38" s="97"/>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39D34-C3C9-41AC-B28C-52D7C3D8FA46}">
  <sheetPr>
    <tabColor theme="9" tint="0.79998168889431442"/>
  </sheetPr>
  <dimension ref="A1:J39"/>
  <sheetViews>
    <sheetView workbookViewId="0">
      <pane xSplit="3" ySplit="1" topLeftCell="D2" activePane="bottomRight" state="frozen"/>
      <selection pane="topRight" activeCell="D10" sqref="D10"/>
      <selection pane="bottomLeft" activeCell="D10" sqref="D10"/>
      <selection pane="bottomRight" activeCell="E7" sqref="E7"/>
    </sheetView>
  </sheetViews>
  <sheetFormatPr defaultRowHeight="14.5" x14ac:dyDescent="0.35"/>
  <cols>
    <col min="1" max="1" width="20.6328125" customWidth="1"/>
    <col min="2" max="2" width="20.6328125" style="33" customWidth="1"/>
    <col min="3" max="3" width="17.6328125" style="33" customWidth="1"/>
    <col min="4" max="4" width="13.81640625" customWidth="1"/>
    <col min="5" max="5" width="17.1796875" customWidth="1"/>
    <col min="6" max="9" width="23" customWidth="1"/>
    <col min="10" max="10" width="9.1796875" style="30"/>
  </cols>
  <sheetData>
    <row r="1" spans="1:10" s="53" customFormat="1" ht="40" customHeight="1" x14ac:dyDescent="0.35">
      <c r="A1" s="53" t="s">
        <v>48</v>
      </c>
      <c r="B1" s="46" t="s">
        <v>32</v>
      </c>
      <c r="C1" s="46" t="s">
        <v>101</v>
      </c>
      <c r="D1" s="68" t="s">
        <v>90</v>
      </c>
      <c r="E1" s="68" t="s">
        <v>109</v>
      </c>
      <c r="F1" s="68" t="s">
        <v>107</v>
      </c>
      <c r="G1" s="68" t="s">
        <v>108</v>
      </c>
      <c r="H1" s="68" t="s">
        <v>110</v>
      </c>
      <c r="I1" s="68" t="s">
        <v>111</v>
      </c>
      <c r="J1" s="54"/>
    </row>
    <row r="2" spans="1:10" x14ac:dyDescent="0.35">
      <c r="A2" t="s">
        <v>59</v>
      </c>
      <c r="B2" s="33" t="s">
        <v>60</v>
      </c>
      <c r="C2" s="58">
        <v>43435</v>
      </c>
      <c r="D2" s="74">
        <f t="shared" ref="D2:D30" si="0">IF(MONTH(C2)&lt;7,YEAR(C2),YEAR(C2)+1)</f>
        <v>2019</v>
      </c>
      <c r="E2" s="97">
        <v>1.3030077488346661</v>
      </c>
      <c r="F2" s="97">
        <v>4.013206017871479E-2</v>
      </c>
      <c r="G2" s="97">
        <v>4.013206017871479E-2</v>
      </c>
      <c r="H2" s="97">
        <f t="shared" ref="H2:H30" si="1">F2/$E2</f>
        <v>3.0799556038409257E-2</v>
      </c>
      <c r="I2" s="97">
        <f t="shared" ref="I2:I30" si="2">G2/$E2</f>
        <v>3.0799556038409257E-2</v>
      </c>
      <c r="J2" s="57"/>
    </row>
    <row r="3" spans="1:10" x14ac:dyDescent="0.35">
      <c r="A3" t="s">
        <v>59</v>
      </c>
      <c r="B3" s="33" t="s">
        <v>19</v>
      </c>
      <c r="C3" s="58">
        <v>45231</v>
      </c>
      <c r="D3" s="74">
        <f t="shared" si="0"/>
        <v>2024</v>
      </c>
      <c r="E3" s="97">
        <v>1.0069637517181789</v>
      </c>
      <c r="F3" s="97">
        <v>1.21082765139998E-2</v>
      </c>
      <c r="G3" s="97">
        <v>1.21082765139998E-2</v>
      </c>
      <c r="H3" s="97">
        <f t="shared" si="1"/>
        <v>1.2024540598744979E-2</v>
      </c>
      <c r="I3" s="97">
        <f t="shared" si="2"/>
        <v>1.2024540598744979E-2</v>
      </c>
      <c r="J3" s="57"/>
    </row>
    <row r="4" spans="1:10" x14ac:dyDescent="0.35">
      <c r="A4" t="s">
        <v>59</v>
      </c>
      <c r="B4" s="33" t="s">
        <v>62</v>
      </c>
      <c r="C4" s="58">
        <v>45231</v>
      </c>
      <c r="D4" s="74">
        <f t="shared" si="0"/>
        <v>2024</v>
      </c>
      <c r="E4" s="97">
        <v>1.0069637517181789</v>
      </c>
      <c r="F4" s="97">
        <v>2.8091723297718512E-2</v>
      </c>
      <c r="G4" s="97">
        <v>2.8091723297718512E-2</v>
      </c>
      <c r="H4" s="97">
        <f t="shared" si="1"/>
        <v>2.7897452365872853E-2</v>
      </c>
      <c r="I4" s="97">
        <f t="shared" si="2"/>
        <v>2.7897452365872853E-2</v>
      </c>
      <c r="J4" s="57"/>
    </row>
    <row r="5" spans="1:10" x14ac:dyDescent="0.35">
      <c r="A5" t="s">
        <v>63</v>
      </c>
      <c r="B5" s="33" t="s">
        <v>64</v>
      </c>
      <c r="C5" s="58">
        <v>43525</v>
      </c>
      <c r="D5" s="74">
        <f t="shared" si="0"/>
        <v>2019</v>
      </c>
      <c r="E5" s="97">
        <v>1.3030077488346661</v>
      </c>
      <c r="F5" s="97">
        <v>8.4937365768834594E-3</v>
      </c>
      <c r="G5" s="97">
        <v>1.0422622167668453E-2</v>
      </c>
      <c r="H5" s="97">
        <f t="shared" si="1"/>
        <v>6.5185618308715053E-3</v>
      </c>
      <c r="I5" s="97">
        <f t="shared" si="2"/>
        <v>7.9988950004248535E-3</v>
      </c>
      <c r="J5" s="57"/>
    </row>
    <row r="6" spans="1:10" x14ac:dyDescent="0.35">
      <c r="A6" t="s">
        <v>65</v>
      </c>
      <c r="B6" s="33" t="s">
        <v>64</v>
      </c>
      <c r="C6" s="58">
        <v>44713</v>
      </c>
      <c r="D6" s="74">
        <f t="shared" si="0"/>
        <v>2022</v>
      </c>
      <c r="E6" s="97">
        <v>0.98735770414989998</v>
      </c>
      <c r="F6" s="97">
        <v>7.583513949669286E-3</v>
      </c>
      <c r="G6" s="97">
        <v>9.8692049874090134E-3</v>
      </c>
      <c r="H6" s="97">
        <f t="shared" si="1"/>
        <v>7.6806145511353219E-3</v>
      </c>
      <c r="I6" s="97">
        <f t="shared" si="2"/>
        <v>9.9955719653863941E-3</v>
      </c>
      <c r="J6" s="57"/>
    </row>
    <row r="7" spans="1:10" x14ac:dyDescent="0.35">
      <c r="A7" t="s">
        <v>66</v>
      </c>
      <c r="B7" s="33" t="s">
        <v>64</v>
      </c>
      <c r="C7" s="58">
        <v>44378</v>
      </c>
      <c r="D7" s="74">
        <f t="shared" si="0"/>
        <v>2022</v>
      </c>
      <c r="E7" s="97">
        <v>0.98735770414989998</v>
      </c>
      <c r="F7" s="97">
        <v>0.13322090935217734</v>
      </c>
      <c r="G7" s="97">
        <v>0.15064419264897852</v>
      </c>
      <c r="H7" s="97">
        <f t="shared" si="1"/>
        <v>0.13492669251705341</v>
      </c>
      <c r="I7" s="97">
        <f t="shared" si="2"/>
        <v>0.15257306649435717</v>
      </c>
      <c r="J7" s="57"/>
    </row>
    <row r="8" spans="1:10" x14ac:dyDescent="0.35">
      <c r="A8" t="s">
        <v>66</v>
      </c>
      <c r="B8" s="33" t="s">
        <v>60</v>
      </c>
      <c r="C8" s="58">
        <v>44927</v>
      </c>
      <c r="D8" s="74">
        <f t="shared" si="0"/>
        <v>2023</v>
      </c>
      <c r="E8" s="97">
        <v>1.0040762671122119</v>
      </c>
      <c r="F8" s="97">
        <v>8.6187105499375527E-2</v>
      </c>
      <c r="G8" s="97">
        <v>9.1910049076235067E-2</v>
      </c>
      <c r="H8" s="97">
        <f t="shared" si="1"/>
        <v>8.5837210102829339E-2</v>
      </c>
      <c r="I8" s="97">
        <f t="shared" si="2"/>
        <v>9.1536920139118808E-2</v>
      </c>
      <c r="J8" s="57"/>
    </row>
    <row r="9" spans="1:10" x14ac:dyDescent="0.35">
      <c r="A9" t="s">
        <v>66</v>
      </c>
      <c r="B9" s="33" t="s">
        <v>67</v>
      </c>
      <c r="C9" s="58">
        <v>45231</v>
      </c>
      <c r="D9" s="74">
        <f t="shared" si="0"/>
        <v>2024</v>
      </c>
      <c r="E9" s="97">
        <v>1.0069637517181789</v>
      </c>
      <c r="F9" s="97">
        <v>2.6640049761163367E-2</v>
      </c>
      <c r="G9" s="97">
        <v>2.8408986086203E-2</v>
      </c>
      <c r="H9" s="97">
        <f t="shared" si="1"/>
        <v>2.6455818013019376E-2</v>
      </c>
      <c r="I9" s="97">
        <f t="shared" si="2"/>
        <v>2.8212521093960774E-2</v>
      </c>
      <c r="J9" s="57"/>
    </row>
    <row r="10" spans="1:10" x14ac:dyDescent="0.35">
      <c r="A10" t="s">
        <v>68</v>
      </c>
      <c r="B10" s="33" t="s">
        <v>60</v>
      </c>
      <c r="C10" s="58">
        <v>44409</v>
      </c>
      <c r="D10" s="74">
        <f t="shared" si="0"/>
        <v>2022</v>
      </c>
      <c r="E10" s="97">
        <v>0.98735770414989998</v>
      </c>
      <c r="F10" s="97">
        <v>3.0204704962805101E-3</v>
      </c>
      <c r="G10" s="97">
        <v>6.6623768124724767E-3</v>
      </c>
      <c r="H10" s="97">
        <f t="shared" si="1"/>
        <v>3.0591451138582944E-3</v>
      </c>
      <c r="I10" s="97">
        <f t="shared" si="2"/>
        <v>6.7476830174821823E-3</v>
      </c>
      <c r="J10" s="57"/>
    </row>
    <row r="11" spans="1:10" x14ac:dyDescent="0.35">
      <c r="A11" t="s">
        <v>69</v>
      </c>
      <c r="B11" s="33" t="s">
        <v>64</v>
      </c>
      <c r="C11" s="58">
        <v>43374</v>
      </c>
      <c r="D11" s="74">
        <f t="shared" si="0"/>
        <v>2019</v>
      </c>
      <c r="E11" s="97">
        <v>1.3030077488346661</v>
      </c>
      <c r="F11" s="97">
        <v>6.326488215525893E-3</v>
      </c>
      <c r="G11" s="97">
        <v>6.8902329283934893E-3</v>
      </c>
      <c r="H11" s="97">
        <f t="shared" si="1"/>
        <v>4.8552959268154273E-3</v>
      </c>
      <c r="I11" s="97">
        <f t="shared" si="2"/>
        <v>5.2879447068182907E-3</v>
      </c>
      <c r="J11" s="57"/>
    </row>
    <row r="12" spans="1:10" x14ac:dyDescent="0.35">
      <c r="A12" t="s">
        <v>70</v>
      </c>
      <c r="B12" s="33" t="s">
        <v>60</v>
      </c>
      <c r="C12" s="58">
        <v>44105</v>
      </c>
      <c r="D12" s="74">
        <f t="shared" si="0"/>
        <v>2021</v>
      </c>
      <c r="E12" s="97">
        <v>1.0643594534579426</v>
      </c>
      <c r="F12" s="97">
        <v>2.4505852757753899E-2</v>
      </c>
      <c r="G12" s="97">
        <v>3.0539748078009066E-2</v>
      </c>
      <c r="H12" s="97">
        <f t="shared" si="1"/>
        <v>2.3024038240218658E-2</v>
      </c>
      <c r="I12" s="97">
        <f t="shared" si="2"/>
        <v>2.8693077304654976E-2</v>
      </c>
      <c r="J12" s="57"/>
    </row>
    <row r="13" spans="1:10" x14ac:dyDescent="0.35">
      <c r="A13" t="s">
        <v>71</v>
      </c>
      <c r="B13" s="33" t="s">
        <v>60</v>
      </c>
      <c r="C13" s="58">
        <v>43617</v>
      </c>
      <c r="D13" s="74">
        <f t="shared" si="0"/>
        <v>2019</v>
      </c>
      <c r="E13" s="97">
        <v>1.3030077488346661</v>
      </c>
      <c r="F13" s="97">
        <v>2.5610801870965802E-2</v>
      </c>
      <c r="G13" s="97">
        <v>3.2328302321510502E-2</v>
      </c>
      <c r="H13" s="97">
        <f t="shared" si="1"/>
        <v>1.9655141647369791E-2</v>
      </c>
      <c r="I13" s="97">
        <f t="shared" si="2"/>
        <v>2.4810521925462872E-2</v>
      </c>
      <c r="J13" s="57"/>
    </row>
    <row r="14" spans="1:10" x14ac:dyDescent="0.35">
      <c r="A14" t="s">
        <v>72</v>
      </c>
      <c r="B14" s="33" t="s">
        <v>60</v>
      </c>
      <c r="C14" s="58">
        <v>44166</v>
      </c>
      <c r="D14" s="74">
        <f t="shared" si="0"/>
        <v>2021</v>
      </c>
      <c r="E14" s="97">
        <v>1.0643594534579426</v>
      </c>
      <c r="F14" s="97">
        <v>4.3393034363085475E-3</v>
      </c>
      <c r="G14" s="97">
        <v>7.0680559015660919E-3</v>
      </c>
      <c r="H14" s="97">
        <f t="shared" si="1"/>
        <v>4.0769153900130336E-3</v>
      </c>
      <c r="I14" s="97">
        <f t="shared" si="2"/>
        <v>6.6406662510517939E-3</v>
      </c>
      <c r="J14" s="57"/>
    </row>
    <row r="15" spans="1:10" x14ac:dyDescent="0.35">
      <c r="A15" t="s">
        <v>73</v>
      </c>
      <c r="B15" s="33" t="s">
        <v>62</v>
      </c>
      <c r="C15" s="58">
        <v>43374</v>
      </c>
      <c r="D15" s="74">
        <f t="shared" si="0"/>
        <v>2019</v>
      </c>
      <c r="E15" s="97">
        <v>1.3030077488346661</v>
      </c>
      <c r="F15" s="97">
        <v>5.6517800964769591E-2</v>
      </c>
      <c r="G15" s="97">
        <v>7.7143330640725205E-2</v>
      </c>
      <c r="H15" s="97">
        <f t="shared" si="1"/>
        <v>4.3374877099016336E-2</v>
      </c>
      <c r="I15" s="97">
        <f t="shared" si="2"/>
        <v>5.9204045954229886E-2</v>
      </c>
      <c r="J15" s="57"/>
    </row>
    <row r="16" spans="1:10" x14ac:dyDescent="0.35">
      <c r="A16" t="s">
        <v>74</v>
      </c>
      <c r="B16" s="33" t="s">
        <v>64</v>
      </c>
      <c r="C16" s="58">
        <v>44774</v>
      </c>
      <c r="D16" s="74">
        <f t="shared" si="0"/>
        <v>2023</v>
      </c>
      <c r="E16" s="97">
        <v>1.0040762671122119</v>
      </c>
      <c r="F16" s="97">
        <v>2.2848575149310431E-3</v>
      </c>
      <c r="G16" s="97">
        <v>4.4230525053213857E-3</v>
      </c>
      <c r="H16" s="97">
        <f t="shared" si="1"/>
        <v>2.2755816363456542E-3</v>
      </c>
      <c r="I16" s="97">
        <f t="shared" si="2"/>
        <v>4.4050961567315703E-3</v>
      </c>
      <c r="J16" s="57"/>
    </row>
    <row r="17" spans="1:10" x14ac:dyDescent="0.35">
      <c r="A17" t="s">
        <v>75</v>
      </c>
      <c r="B17" s="33" t="s">
        <v>60</v>
      </c>
      <c r="C17" s="58">
        <v>44044</v>
      </c>
      <c r="D17" s="74">
        <f t="shared" si="0"/>
        <v>2021</v>
      </c>
      <c r="E17" s="97">
        <v>1.0643594534579426</v>
      </c>
      <c r="F17" s="97">
        <v>2.1963139794704701E-2</v>
      </c>
      <c r="G17" s="97">
        <v>2.2632259303000737E-2</v>
      </c>
      <c r="H17" s="97">
        <f t="shared" si="1"/>
        <v>2.0635077485665006E-2</v>
      </c>
      <c r="I17" s="97">
        <f t="shared" si="2"/>
        <v>2.126373682262318E-2</v>
      </c>
      <c r="J17" s="57"/>
    </row>
    <row r="18" spans="1:10" x14ac:dyDescent="0.35">
      <c r="A18" t="s">
        <v>76</v>
      </c>
      <c r="B18" s="33" t="s">
        <v>60</v>
      </c>
      <c r="C18" s="58">
        <v>44440</v>
      </c>
      <c r="D18" s="74">
        <f t="shared" si="0"/>
        <v>2022</v>
      </c>
      <c r="E18" s="97">
        <v>0.98735770414989998</v>
      </c>
      <c r="F18" s="97">
        <v>2.1482067028534155E-2</v>
      </c>
      <c r="G18" s="97">
        <v>2.1912083131980852E-2</v>
      </c>
      <c r="H18" s="97">
        <f t="shared" si="1"/>
        <v>2.1757127065747554E-2</v>
      </c>
      <c r="I18" s="97">
        <f t="shared" si="2"/>
        <v>2.2192649168466076E-2</v>
      </c>
      <c r="J18" s="57"/>
    </row>
    <row r="19" spans="1:10" x14ac:dyDescent="0.35">
      <c r="A19" t="s">
        <v>77</v>
      </c>
      <c r="B19" s="33" t="s">
        <v>60</v>
      </c>
      <c r="C19" s="58">
        <v>45170</v>
      </c>
      <c r="D19" s="74">
        <f t="shared" si="0"/>
        <v>2024</v>
      </c>
      <c r="E19" s="97">
        <v>1.0069637517181789</v>
      </c>
      <c r="F19" s="97">
        <v>6.8387127351239099E-3</v>
      </c>
      <c r="G19" s="97">
        <v>1.4138195923557502E-2</v>
      </c>
      <c r="H19" s="97">
        <f t="shared" si="1"/>
        <v>6.7914189795362911E-3</v>
      </c>
      <c r="I19" s="97">
        <f t="shared" si="2"/>
        <v>1.4040421911348393E-2</v>
      </c>
      <c r="J19" s="57"/>
    </row>
    <row r="20" spans="1:10" x14ac:dyDescent="0.35">
      <c r="A20" t="s">
        <v>79</v>
      </c>
      <c r="B20" s="33" t="s">
        <v>60</v>
      </c>
      <c r="C20" s="58">
        <v>44470</v>
      </c>
      <c r="D20" s="74">
        <f t="shared" si="0"/>
        <v>2022</v>
      </c>
      <c r="E20" s="97">
        <v>0.98735770414989998</v>
      </c>
      <c r="F20" s="97">
        <v>1.219796756323039E-2</v>
      </c>
      <c r="G20" s="97">
        <v>2.0392318085046969E-2</v>
      </c>
      <c r="H20" s="97">
        <f t="shared" si="1"/>
        <v>1.2354152413012926E-2</v>
      </c>
      <c r="I20" s="97">
        <f t="shared" si="2"/>
        <v>2.0653424791579913E-2</v>
      </c>
      <c r="J20" s="57"/>
    </row>
    <row r="21" spans="1:10" x14ac:dyDescent="0.35">
      <c r="A21" t="s">
        <v>80</v>
      </c>
      <c r="B21" s="33" t="s">
        <v>64</v>
      </c>
      <c r="C21" s="58">
        <v>44743</v>
      </c>
      <c r="D21" s="74">
        <f t="shared" si="0"/>
        <v>2023</v>
      </c>
      <c r="E21" s="97">
        <v>1.0040762671122119</v>
      </c>
      <c r="F21" s="97">
        <v>4.2957905564976967E-3</v>
      </c>
      <c r="G21" s="97">
        <v>7.890281181970037E-3</v>
      </c>
      <c r="H21" s="97">
        <f t="shared" si="1"/>
        <v>4.2783508556104681E-3</v>
      </c>
      <c r="I21" s="97">
        <f t="shared" si="2"/>
        <v>7.8582488605800777E-3</v>
      </c>
      <c r="J21" s="57"/>
    </row>
    <row r="22" spans="1:10" x14ac:dyDescent="0.35">
      <c r="A22" t="s">
        <v>81</v>
      </c>
      <c r="B22" s="33" t="s">
        <v>60</v>
      </c>
      <c r="C22" s="58">
        <v>44287</v>
      </c>
      <c r="D22" s="74">
        <f t="shared" si="0"/>
        <v>2021</v>
      </c>
      <c r="E22" s="97">
        <v>1.0643594534579426</v>
      </c>
      <c r="F22" s="97">
        <v>1.0177443332159629E-2</v>
      </c>
      <c r="G22" s="97">
        <v>1.7152784015854416E-2</v>
      </c>
      <c r="H22" s="97">
        <f t="shared" si="1"/>
        <v>9.562035926016026E-3</v>
      </c>
      <c r="I22" s="97">
        <f t="shared" si="2"/>
        <v>1.6115593242609551E-2</v>
      </c>
      <c r="J22" s="57"/>
    </row>
    <row r="23" spans="1:10" x14ac:dyDescent="0.35">
      <c r="A23" t="s">
        <v>82</v>
      </c>
      <c r="B23" s="33" t="s">
        <v>64</v>
      </c>
      <c r="C23" s="58">
        <v>43252</v>
      </c>
      <c r="D23" s="74">
        <f t="shared" si="0"/>
        <v>2018</v>
      </c>
      <c r="E23" s="97">
        <v>1.3913779435349118</v>
      </c>
      <c r="F23" s="97">
        <v>3.5456215897027438E-2</v>
      </c>
      <c r="G23" s="97">
        <v>5.0129719458541444E-2</v>
      </c>
      <c r="H23" s="97">
        <f t="shared" si="1"/>
        <v>2.5482807214083011E-2</v>
      </c>
      <c r="I23" s="97">
        <f t="shared" si="2"/>
        <v>3.6028830046840259E-2</v>
      </c>
      <c r="J23" s="57"/>
    </row>
    <row r="24" spans="1:10" x14ac:dyDescent="0.35">
      <c r="A24" t="s">
        <v>83</v>
      </c>
      <c r="B24" s="33" t="s">
        <v>62</v>
      </c>
      <c r="C24" s="58">
        <v>43282</v>
      </c>
      <c r="D24" s="74">
        <f t="shared" si="0"/>
        <v>2019</v>
      </c>
      <c r="E24" s="97">
        <v>1.3030077488346661</v>
      </c>
      <c r="F24" s="97">
        <v>7.194330806492886E-3</v>
      </c>
      <c r="G24" s="97">
        <v>1.0587953832536324E-2</v>
      </c>
      <c r="H24" s="97">
        <f t="shared" si="1"/>
        <v>5.5213261877583419E-3</v>
      </c>
      <c r="I24" s="97">
        <f t="shared" si="2"/>
        <v>8.1257796371553195E-3</v>
      </c>
      <c r="J24" s="57"/>
    </row>
    <row r="25" spans="1:10" x14ac:dyDescent="0.35">
      <c r="A25" t="s">
        <v>84</v>
      </c>
      <c r="B25" s="33" t="s">
        <v>64</v>
      </c>
      <c r="C25" s="58">
        <v>44105</v>
      </c>
      <c r="D25" s="74">
        <f t="shared" si="0"/>
        <v>2021</v>
      </c>
      <c r="E25" s="97">
        <v>1.0643594534579426</v>
      </c>
      <c r="F25" s="97">
        <v>8.218431745760103E-3</v>
      </c>
      <c r="G25" s="97">
        <v>8.8378046492665965E-3</v>
      </c>
      <c r="H25" s="97">
        <f t="shared" si="1"/>
        <v>7.7214814215814621E-3</v>
      </c>
      <c r="I25" s="97">
        <f t="shared" si="2"/>
        <v>8.3034022205129183E-3</v>
      </c>
      <c r="J25" s="57"/>
    </row>
    <row r="26" spans="1:10" x14ac:dyDescent="0.35">
      <c r="A26" t="s">
        <v>85</v>
      </c>
      <c r="B26" s="33" t="s">
        <v>19</v>
      </c>
      <c r="C26" s="58">
        <v>43191</v>
      </c>
      <c r="D26" s="74">
        <f t="shared" si="0"/>
        <v>2018</v>
      </c>
      <c r="E26" s="97">
        <v>1.3913779435349118</v>
      </c>
      <c r="F26" s="97">
        <v>2.0040942638432941E-2</v>
      </c>
      <c r="G26" s="97">
        <v>2.399643372181523E-2</v>
      </c>
      <c r="H26" s="97">
        <f t="shared" si="1"/>
        <v>1.4403665611887776E-2</v>
      </c>
      <c r="I26" s="97">
        <f t="shared" si="2"/>
        <v>1.724652444960446E-2</v>
      </c>
      <c r="J26" s="57"/>
    </row>
    <row r="27" spans="1:10" x14ac:dyDescent="0.35">
      <c r="A27" t="s">
        <v>85</v>
      </c>
      <c r="B27" s="33" t="s">
        <v>60</v>
      </c>
      <c r="C27" s="58">
        <v>44256</v>
      </c>
      <c r="D27" s="74">
        <f t="shared" si="0"/>
        <v>2021</v>
      </c>
      <c r="E27" s="97">
        <v>1.0643594534579426</v>
      </c>
      <c r="F27" s="97">
        <v>1.1299286164032819E-2</v>
      </c>
      <c r="G27" s="97">
        <v>1.3556762546673248E-2</v>
      </c>
      <c r="H27" s="97">
        <f t="shared" si="1"/>
        <v>1.0616043412141594E-2</v>
      </c>
      <c r="I27" s="97">
        <f t="shared" si="2"/>
        <v>1.2737015209128252E-2</v>
      </c>
      <c r="J27" s="57"/>
    </row>
    <row r="28" spans="1:10" x14ac:dyDescent="0.35">
      <c r="A28" t="s">
        <v>86</v>
      </c>
      <c r="B28" s="33" t="s">
        <v>62</v>
      </c>
      <c r="C28" s="58">
        <v>44228</v>
      </c>
      <c r="D28" s="74">
        <f t="shared" si="0"/>
        <v>2021</v>
      </c>
      <c r="E28" s="97">
        <v>1.0643594534579426</v>
      </c>
      <c r="F28" s="97">
        <v>0.13901148482879586</v>
      </c>
      <c r="G28" s="97">
        <v>0.14793541054097481</v>
      </c>
      <c r="H28" s="97">
        <f t="shared" si="1"/>
        <v>0.13060576892249004</v>
      </c>
      <c r="I28" s="97">
        <f t="shared" si="2"/>
        <v>0.13899008465641477</v>
      </c>
      <c r="J28" s="57"/>
    </row>
    <row r="29" spans="1:10" x14ac:dyDescent="0.35">
      <c r="A29" t="s">
        <v>86</v>
      </c>
      <c r="B29" s="33" t="s">
        <v>87</v>
      </c>
      <c r="C29" s="58">
        <v>44470</v>
      </c>
      <c r="D29" s="74">
        <f t="shared" si="0"/>
        <v>2022</v>
      </c>
      <c r="E29" s="97">
        <v>0.98735770414989998</v>
      </c>
      <c r="F29" s="97">
        <v>0.1053578846519516</v>
      </c>
      <c r="G29" s="97">
        <v>0.11212139729973231</v>
      </c>
      <c r="H29" s="97">
        <f t="shared" si="1"/>
        <v>0.10670690491311165</v>
      </c>
      <c r="I29" s="97">
        <f t="shared" si="2"/>
        <v>0.11355701872632587</v>
      </c>
      <c r="J29" s="57"/>
    </row>
    <row r="30" spans="1:10" x14ac:dyDescent="0.35">
      <c r="A30" t="s">
        <v>88</v>
      </c>
      <c r="B30" s="33" t="s">
        <v>64</v>
      </c>
      <c r="C30" s="58">
        <v>45047</v>
      </c>
      <c r="D30" s="74">
        <f t="shared" si="0"/>
        <v>2023</v>
      </c>
      <c r="E30" s="97">
        <v>1.0040762671122119</v>
      </c>
      <c r="F30" s="97">
        <v>1.1096469032578143E-2</v>
      </c>
      <c r="G30" s="97">
        <v>1.5487804041108787E-2</v>
      </c>
      <c r="H30" s="97">
        <f t="shared" si="1"/>
        <v>1.1051420490688723E-2</v>
      </c>
      <c r="I30" s="97">
        <f t="shared" si="2"/>
        <v>1.5424927914741687E-2</v>
      </c>
      <c r="J30" s="57"/>
    </row>
    <row r="31" spans="1:10" x14ac:dyDescent="0.35">
      <c r="E31" s="97"/>
      <c r="F31" s="97"/>
      <c r="G31" s="97"/>
      <c r="H31" s="97"/>
      <c r="I31" s="97"/>
    </row>
    <row r="32" spans="1:10" x14ac:dyDescent="0.35">
      <c r="E32" s="97"/>
      <c r="F32" s="97"/>
      <c r="G32" s="97"/>
      <c r="H32" s="97"/>
      <c r="I32" s="97"/>
    </row>
    <row r="33" spans="5:9" x14ac:dyDescent="0.35">
      <c r="E33" s="97"/>
      <c r="F33" s="97"/>
      <c r="G33" s="97"/>
      <c r="H33" s="97"/>
      <c r="I33" s="97"/>
    </row>
    <row r="34" spans="5:9" x14ac:dyDescent="0.35">
      <c r="E34" s="97"/>
      <c r="F34" s="97"/>
      <c r="G34" s="97"/>
      <c r="H34" s="97"/>
      <c r="I34" s="97"/>
    </row>
    <row r="35" spans="5:9" x14ac:dyDescent="0.35">
      <c r="E35" s="97"/>
      <c r="F35" s="97"/>
      <c r="G35" s="97"/>
      <c r="H35" s="97"/>
      <c r="I35" s="97"/>
    </row>
    <row r="36" spans="5:9" x14ac:dyDescent="0.35">
      <c r="E36" s="97"/>
      <c r="F36" s="97"/>
      <c r="G36" s="97"/>
      <c r="H36" s="97"/>
      <c r="I36" s="97"/>
    </row>
    <row r="37" spans="5:9" x14ac:dyDescent="0.35">
      <c r="E37" s="97"/>
      <c r="F37" s="97"/>
      <c r="G37" s="97"/>
      <c r="H37" s="97"/>
      <c r="I37" s="97"/>
    </row>
    <row r="38" spans="5:9" x14ac:dyDescent="0.35">
      <c r="E38" s="97"/>
      <c r="F38" s="97"/>
      <c r="G38" s="97"/>
      <c r="H38" s="97"/>
      <c r="I38" s="97"/>
    </row>
    <row r="39" spans="5:9" x14ac:dyDescent="0.35">
      <c r="E39" s="97"/>
      <c r="F39" s="97"/>
      <c r="G39" s="97"/>
      <c r="H39" s="97"/>
      <c r="I39" s="9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3CBDA-49CA-4DB0-8838-24E1F5528889}">
  <sheetPr>
    <tabColor theme="9" tint="0.79998168889431442"/>
  </sheetPr>
  <dimension ref="A1:J38"/>
  <sheetViews>
    <sheetView workbookViewId="0">
      <pane xSplit="3" ySplit="1" topLeftCell="D2" activePane="bottomRight" state="frozen"/>
      <selection pane="topRight" activeCell="D10" sqref="D10"/>
      <selection pane="bottomLeft" activeCell="D10" sqref="D10"/>
      <selection pane="bottomRight" activeCell="F11" sqref="F11"/>
    </sheetView>
  </sheetViews>
  <sheetFormatPr defaultColWidth="9.1796875" defaultRowHeight="14.5" x14ac:dyDescent="0.35"/>
  <cols>
    <col min="1" max="2" width="20.6328125" customWidth="1"/>
    <col min="3" max="3" width="17.6328125" customWidth="1"/>
    <col min="4" max="4" width="15.81640625" style="98" customWidth="1"/>
    <col min="5" max="5" width="13.453125" style="98" customWidth="1"/>
    <col min="6" max="6" width="17" style="98" customWidth="1"/>
    <col min="7" max="7" width="15.6328125" style="98" customWidth="1"/>
    <col min="8" max="8" width="13.6328125" style="98" customWidth="1"/>
    <col min="9" max="9" width="11.453125" style="98" customWidth="1"/>
    <col min="10" max="10" width="14.6328125" style="98" customWidth="1"/>
  </cols>
  <sheetData>
    <row r="1" spans="1:10" s="42" customFormat="1" ht="40" customHeight="1" x14ac:dyDescent="0.35">
      <c r="A1" s="45" t="s">
        <v>48</v>
      </c>
      <c r="B1" s="46" t="s">
        <v>32</v>
      </c>
      <c r="C1" s="49" t="s">
        <v>49</v>
      </c>
      <c r="D1" s="99" t="s">
        <v>112</v>
      </c>
      <c r="E1" s="99" t="s">
        <v>113</v>
      </c>
      <c r="F1" s="99" t="s">
        <v>114</v>
      </c>
      <c r="G1" s="99" t="s">
        <v>115</v>
      </c>
      <c r="H1" s="99" t="s">
        <v>116</v>
      </c>
      <c r="I1" s="99" t="s">
        <v>117</v>
      </c>
      <c r="J1" s="99" t="s">
        <v>118</v>
      </c>
    </row>
    <row r="2" spans="1:10" x14ac:dyDescent="0.35">
      <c r="A2" s="50" t="s">
        <v>59</v>
      </c>
      <c r="B2" s="51" t="s">
        <v>60</v>
      </c>
      <c r="C2" s="52">
        <v>43435</v>
      </c>
      <c r="D2" s="100">
        <v>58530.782169711711</v>
      </c>
      <c r="E2" s="98">
        <v>3</v>
      </c>
      <c r="F2" s="101">
        <v>3.2453449158998549</v>
      </c>
      <c r="G2" s="101" cm="1">
        <f t="array" ref="G2">MIN(D2,_xlfn.XLOOKUP(YEAR($C2)&amp;"Real GDP per capita (US$)",aus_data!$A:$A&amp;aus_data!$B:$B,aus_data!$D:$D))/MAX(D2,_xlfn.XLOOKUP(YEAR($C2)&amp;"Real GDP per capita (US$)",aus_data!$A:$A&amp;aus_data!$B:$B,aus_data!$D:$D))</f>
        <v>1</v>
      </c>
      <c r="H2" s="101" cm="1">
        <f t="array" ref="H2">MIN(E2,_xlfn.XLOOKUP(YEAR($C2)&amp;"# of MNOs",aus_data!$A:$A&amp;aus_data!$B:$B,aus_data!$D:$D))/MAX(E2,_xlfn.XLOOKUP(YEAR($C2)&amp;"# of MNOs",aus_data!$A:$A&amp;aus_data!$B:$B,aus_data!$D:$D))</f>
        <v>1</v>
      </c>
      <c r="I2" s="101" cm="1">
        <f t="array" ref="I2">MIN(F2,_xlfn.XLOOKUP(YEAR($C2)&amp;"Population density",aus_data!$A:$A&amp;aus_data!$B:$B,aus_data!$D:$D))/MAX(F2,_xlfn.XLOOKUP(YEAR($C2)&amp;"Population density",aus_data!$A:$A&amp;aus_data!$B:$B,aus_data!$D:$D))</f>
        <v>1</v>
      </c>
      <c r="J2" s="101">
        <f>AVERAGE($G2:$I2)</f>
        <v>1</v>
      </c>
    </row>
    <row r="3" spans="1:10" x14ac:dyDescent="0.35">
      <c r="A3" s="50" t="s">
        <v>59</v>
      </c>
      <c r="B3" s="51" t="s">
        <v>19</v>
      </c>
      <c r="C3" s="52">
        <v>45231</v>
      </c>
      <c r="D3" s="100">
        <v>61583.918893530448</v>
      </c>
      <c r="E3" s="98">
        <v>3</v>
      </c>
      <c r="F3" s="101">
        <v>3.4657928606529884</v>
      </c>
      <c r="G3" s="101" cm="1">
        <f t="array" ref="G3">MIN(D3,_xlfn.XLOOKUP(YEAR($C3)&amp;"Real GDP per capita (US$)",aus_data!$A:$A&amp;aus_data!$B:$B,aus_data!$D:$D))/MAX(D3,_xlfn.XLOOKUP(YEAR($C3)&amp;"Real GDP per capita (US$)",aus_data!$A:$A&amp;aus_data!$B:$B,aus_data!$D:$D))</f>
        <v>1</v>
      </c>
      <c r="H3" s="101" cm="1">
        <f t="array" ref="H3">MIN(E3,_xlfn.XLOOKUP(YEAR($C3)&amp;"# of MNOs",aus_data!$A:$A&amp;aus_data!$B:$B,aus_data!$D:$D))/MAX(E3,_xlfn.XLOOKUP(YEAR($C3)&amp;"# of MNOs",aus_data!$A:$A&amp;aus_data!$B:$B,aus_data!$D:$D))</f>
        <v>1</v>
      </c>
      <c r="I3" s="101" cm="1">
        <f t="array" ref="I3">MIN(F3,_xlfn.XLOOKUP(YEAR($C3)&amp;"Population density",aus_data!$A:$A&amp;aus_data!$B:$B,aus_data!$D:$D))/MAX(F3,_xlfn.XLOOKUP(YEAR($C3)&amp;"Population density",aus_data!$A:$A&amp;aus_data!$B:$B,aus_data!$D:$D))</f>
        <v>1</v>
      </c>
      <c r="J3" s="101">
        <f t="shared" ref="J3:J30" si="0">AVERAGE($G3:$I3)</f>
        <v>1</v>
      </c>
    </row>
    <row r="4" spans="1:10" x14ac:dyDescent="0.35">
      <c r="A4" s="50" t="s">
        <v>59</v>
      </c>
      <c r="B4" s="51" t="s">
        <v>62</v>
      </c>
      <c r="C4" s="52">
        <v>45231</v>
      </c>
      <c r="D4" s="100">
        <v>61583.918893530448</v>
      </c>
      <c r="E4" s="98">
        <v>3</v>
      </c>
      <c r="F4" s="101">
        <v>3.4657928606529884</v>
      </c>
      <c r="G4" s="101" cm="1">
        <f t="array" ref="G4">MIN(D4,_xlfn.XLOOKUP(YEAR($C4)&amp;"Real GDP per capita (US$)",aus_data!$A:$A&amp;aus_data!$B:$B,aus_data!$D:$D))/MAX(D4,_xlfn.XLOOKUP(YEAR($C4)&amp;"Real GDP per capita (US$)",aus_data!$A:$A&amp;aus_data!$B:$B,aus_data!$D:$D))</f>
        <v>1</v>
      </c>
      <c r="H4" s="101" cm="1">
        <f t="array" ref="H4">MIN(E4,_xlfn.XLOOKUP(YEAR($C4)&amp;"# of MNOs",aus_data!$A:$A&amp;aus_data!$B:$B,aus_data!$D:$D))/MAX(E4,_xlfn.XLOOKUP(YEAR($C4)&amp;"# of MNOs",aus_data!$A:$A&amp;aus_data!$B:$B,aus_data!$D:$D))</f>
        <v>1</v>
      </c>
      <c r="I4" s="101" cm="1">
        <f t="array" ref="I4">MIN(F4,_xlfn.XLOOKUP(YEAR($C4)&amp;"Population density",aus_data!$A:$A&amp;aus_data!$B:$B,aus_data!$D:$D))/MAX(F4,_xlfn.XLOOKUP(YEAR($C4)&amp;"Population density",aus_data!$A:$A&amp;aus_data!$B:$B,aus_data!$D:$D))</f>
        <v>1</v>
      </c>
      <c r="J4" s="101">
        <f t="shared" si="0"/>
        <v>1</v>
      </c>
    </row>
    <row r="5" spans="1:10" x14ac:dyDescent="0.35">
      <c r="A5" s="50" t="s">
        <v>63</v>
      </c>
      <c r="B5" s="51" t="s">
        <v>64</v>
      </c>
      <c r="C5" s="52">
        <v>43525</v>
      </c>
      <c r="D5" s="100">
        <v>46550.562343078469</v>
      </c>
      <c r="E5" s="98">
        <v>3</v>
      </c>
      <c r="F5" s="101">
        <v>107.60930683470674</v>
      </c>
      <c r="G5" s="101" cm="1">
        <f t="array" ref="G5">MIN(D5,_xlfn.XLOOKUP(YEAR($C5)&amp;"Real GDP per capita (US$)",aus_data!$A:$A&amp;aus_data!$B:$B,aus_data!$D:$D))/MAX(D5,_xlfn.XLOOKUP(YEAR($C5)&amp;"Real GDP per capita (US$)",aus_data!$A:$A&amp;aus_data!$B:$B,aus_data!$D:$D))</f>
        <v>0.79000038629868841</v>
      </c>
      <c r="H5" s="101" cm="1">
        <f t="array" ref="H5">MIN(E5,_xlfn.XLOOKUP(YEAR($C5)&amp;"# of MNOs",aus_data!$A:$A&amp;aus_data!$B:$B,aus_data!$D:$D))/MAX(E5,_xlfn.XLOOKUP(YEAR($C5)&amp;"# of MNOs",aus_data!$A:$A&amp;aus_data!$B:$B,aus_data!$D:$D))</f>
        <v>1</v>
      </c>
      <c r="I5" s="101" cm="1">
        <f t="array" ref="I5">MIN(F5,_xlfn.XLOOKUP(YEAR($C5)&amp;"Population density",aus_data!$A:$A&amp;aus_data!$B:$B,aus_data!$D:$D))/MAX(F5,_xlfn.XLOOKUP(YEAR($C5)&amp;"Population density",aus_data!$A:$A&amp;aus_data!$B:$B,aus_data!$D:$D))</f>
        <v>3.060748795260107E-2</v>
      </c>
      <c r="J5" s="101">
        <f t="shared" si="0"/>
        <v>0.60686929141709645</v>
      </c>
    </row>
    <row r="6" spans="1:10" x14ac:dyDescent="0.35">
      <c r="A6" s="50" t="s">
        <v>65</v>
      </c>
      <c r="B6" s="51" t="s">
        <v>64</v>
      </c>
      <c r="C6" s="52">
        <v>44713</v>
      </c>
      <c r="D6" s="100">
        <v>44583.576771176799</v>
      </c>
      <c r="E6" s="98">
        <v>4</v>
      </c>
      <c r="F6" s="101">
        <v>383.03305568308519</v>
      </c>
      <c r="G6" s="101" cm="1">
        <f t="array" ref="G6">MIN(D6,_xlfn.XLOOKUP(YEAR($C6)&amp;"Real GDP per capita (US$)",aus_data!$A:$A&amp;aus_data!$B:$B,aus_data!$D:$D))/MAX(D6,_xlfn.XLOOKUP(YEAR($C6)&amp;"Real GDP per capita (US$)",aus_data!$A:$A&amp;aus_data!$B:$B,aus_data!$D:$D))</f>
        <v>0.73076081438632612</v>
      </c>
      <c r="H6" s="101" cm="1">
        <f t="array" ref="H6">MIN(E6,_xlfn.XLOOKUP(YEAR($C6)&amp;"# of MNOs",aus_data!$A:$A&amp;aus_data!$B:$B,aus_data!$D:$D))/MAX(E6,_xlfn.XLOOKUP(YEAR($C6)&amp;"# of MNOs",aus_data!$A:$A&amp;aus_data!$B:$B,aus_data!$D:$D))</f>
        <v>0.75</v>
      </c>
      <c r="I6" s="101" cm="1">
        <f t="array" ref="I6">MIN(F6,_xlfn.XLOOKUP(YEAR($C6)&amp;"Population density",aus_data!$A:$A&amp;aus_data!$B:$B,aus_data!$D:$D))/MAX(F6,_xlfn.XLOOKUP(YEAR($C6)&amp;"Population density",aus_data!$A:$A&amp;aus_data!$B:$B,aus_data!$D:$D))</f>
        <v>8.8295208639557945E-3</v>
      </c>
      <c r="J6" s="101">
        <f t="shared" si="0"/>
        <v>0.49653011175009393</v>
      </c>
    </row>
    <row r="7" spans="1:10" x14ac:dyDescent="0.35">
      <c r="A7" s="50" t="s">
        <v>66</v>
      </c>
      <c r="B7" s="51" t="s">
        <v>64</v>
      </c>
      <c r="C7" s="52">
        <v>44378</v>
      </c>
      <c r="D7" s="100">
        <v>44359.616726671338</v>
      </c>
      <c r="E7" s="98">
        <v>3</v>
      </c>
      <c r="F7" s="101">
        <v>4.3510262041029959</v>
      </c>
      <c r="G7" s="101" cm="1">
        <f t="array" ref="G7">MIN(D7,_xlfn.XLOOKUP(YEAR($C7)&amp;"Real GDP per capita (US$)",aus_data!$A:$A&amp;aus_data!$B:$B,aus_data!$D:$D))/MAX(D7,_xlfn.XLOOKUP(YEAR($C7)&amp;"Real GDP per capita (US$)",aus_data!$A:$A&amp;aus_data!$B:$B,aus_data!$D:$D))</f>
        <v>0.74835076972152714</v>
      </c>
      <c r="H7" s="101" cm="1">
        <f t="array" ref="H7">MIN(E7,_xlfn.XLOOKUP(YEAR($C7)&amp;"# of MNOs",aus_data!$A:$A&amp;aus_data!$B:$B,aus_data!$D:$D))/MAX(E7,_xlfn.XLOOKUP(YEAR($C7)&amp;"# of MNOs",aus_data!$A:$A&amp;aus_data!$B:$B,aus_data!$D:$D))</f>
        <v>1</v>
      </c>
      <c r="I7" s="101" cm="1">
        <f t="array" ref="I7">MIN(F7,_xlfn.XLOOKUP(YEAR($C7)&amp;"Population density",aus_data!$A:$A&amp;aus_data!$B:$B,aus_data!$D:$D))/MAX(F7,_xlfn.XLOOKUP(YEAR($C7)&amp;"Population density",aus_data!$A:$A&amp;aus_data!$B:$B,aus_data!$D:$D))</f>
        <v>0.76745767331739978</v>
      </c>
      <c r="J7" s="101">
        <f t="shared" si="0"/>
        <v>0.83860281434630901</v>
      </c>
    </row>
    <row r="8" spans="1:10" x14ac:dyDescent="0.35">
      <c r="A8" s="50" t="s">
        <v>66</v>
      </c>
      <c r="B8" s="51" t="s">
        <v>60</v>
      </c>
      <c r="C8" s="52">
        <v>44927</v>
      </c>
      <c r="D8" s="100">
        <v>44468.74750235393</v>
      </c>
      <c r="E8" s="98">
        <v>3</v>
      </c>
      <c r="F8" s="101">
        <v>4.5624223150181482</v>
      </c>
      <c r="G8" s="101" cm="1">
        <f t="array" ref="G8">MIN(D8,_xlfn.XLOOKUP(YEAR($C8)&amp;"Real GDP per capita (US$)",aus_data!$A:$A&amp;aus_data!$B:$B,aus_data!$D:$D))/MAX(D8,_xlfn.XLOOKUP(YEAR($C8)&amp;"Real GDP per capita (US$)",aus_data!$A:$A&amp;aus_data!$B:$B,aus_data!$D:$D))</f>
        <v>0.72208375662539215</v>
      </c>
      <c r="H8" s="101" cm="1">
        <f t="array" ref="H8">MIN(E8,_xlfn.XLOOKUP(YEAR($C8)&amp;"# of MNOs",aus_data!$A:$A&amp;aus_data!$B:$B,aus_data!$D:$D))/MAX(E8,_xlfn.XLOOKUP(YEAR($C8)&amp;"# of MNOs",aus_data!$A:$A&amp;aus_data!$B:$B,aus_data!$D:$D))</f>
        <v>1</v>
      </c>
      <c r="I8" s="101" cm="1">
        <f t="array" ref="I8">MIN(F8,_xlfn.XLOOKUP(YEAR($C8)&amp;"Population density",aus_data!$A:$A&amp;aus_data!$B:$B,aus_data!$D:$D))/MAX(F8,_xlfn.XLOOKUP(YEAR($C8)&amp;"Population density",aus_data!$A:$A&amp;aus_data!$B:$B,aus_data!$D:$D))</f>
        <v>0.75963876672368114</v>
      </c>
      <c r="J8" s="101">
        <f t="shared" si="0"/>
        <v>0.82724084111635776</v>
      </c>
    </row>
    <row r="9" spans="1:10" x14ac:dyDescent="0.35">
      <c r="A9" s="50" t="s">
        <v>66</v>
      </c>
      <c r="B9" s="51" t="s">
        <v>67</v>
      </c>
      <c r="C9" s="52">
        <v>45231</v>
      </c>
      <c r="D9" s="100">
        <v>44468.74750235393</v>
      </c>
      <c r="E9" s="98">
        <v>3</v>
      </c>
      <c r="F9" s="101">
        <v>4.5624223150181482</v>
      </c>
      <c r="G9" s="101" cm="1">
        <f t="array" ref="G9">MIN(D9,_xlfn.XLOOKUP(YEAR($C9)&amp;"Real GDP per capita (US$)",aus_data!$A:$A&amp;aus_data!$B:$B,aus_data!$D:$D))/MAX(D9,_xlfn.XLOOKUP(YEAR($C9)&amp;"Real GDP per capita (US$)",aus_data!$A:$A&amp;aus_data!$B:$B,aus_data!$D:$D))</f>
        <v>0.72208375662539215</v>
      </c>
      <c r="H9" s="101" cm="1">
        <f t="array" ref="H9">MIN(E9,_xlfn.XLOOKUP(YEAR($C9)&amp;"# of MNOs",aus_data!$A:$A&amp;aus_data!$B:$B,aus_data!$D:$D))/MAX(E9,_xlfn.XLOOKUP(YEAR($C9)&amp;"# of MNOs",aus_data!$A:$A&amp;aus_data!$B:$B,aus_data!$D:$D))</f>
        <v>1</v>
      </c>
      <c r="I9" s="101" cm="1">
        <f t="array" ref="I9">MIN(F9,_xlfn.XLOOKUP(YEAR($C9)&amp;"Population density",aus_data!$A:$A&amp;aus_data!$B:$B,aus_data!$D:$D))/MAX(F9,_xlfn.XLOOKUP(YEAR($C9)&amp;"Population density",aus_data!$A:$A&amp;aus_data!$B:$B,aus_data!$D:$D))</f>
        <v>0.75963876672368114</v>
      </c>
      <c r="J9" s="101">
        <f t="shared" si="0"/>
        <v>0.82724084111635776</v>
      </c>
    </row>
    <row r="10" spans="1:10" x14ac:dyDescent="0.35">
      <c r="A10" s="50" t="s">
        <v>68</v>
      </c>
      <c r="B10" s="51" t="s">
        <v>60</v>
      </c>
      <c r="C10" s="52">
        <v>44409</v>
      </c>
      <c r="D10" s="100">
        <v>15394.470732808459</v>
      </c>
      <c r="E10" s="98">
        <v>3</v>
      </c>
      <c r="F10" s="101">
        <v>69.317030021443884</v>
      </c>
      <c r="G10" s="101" cm="1">
        <f t="array" ref="G10">MIN(D10,_xlfn.XLOOKUP(YEAR($C10)&amp;"Real GDP per capita (US$)",aus_data!$A:$A&amp;aus_data!$B:$B,aus_data!$D:$D))/MAX(D10,_xlfn.XLOOKUP(YEAR($C10)&amp;"Real GDP per capita (US$)",aus_data!$A:$A&amp;aus_data!$B:$B,aus_data!$D:$D))</f>
        <v>0.25970612174892899</v>
      </c>
      <c r="H10" s="101" cm="1">
        <f t="array" ref="H10">MIN(E10,_xlfn.XLOOKUP(YEAR($C10)&amp;"# of MNOs",aus_data!$A:$A&amp;aus_data!$B:$B,aus_data!$D:$D))/MAX(E10,_xlfn.XLOOKUP(YEAR($C10)&amp;"# of MNOs",aus_data!$A:$A&amp;aus_data!$B:$B,aus_data!$D:$D))</f>
        <v>1</v>
      </c>
      <c r="I10" s="101" cm="1">
        <f t="array" ref="I10">MIN(F10,_xlfn.XLOOKUP(YEAR($C10)&amp;"Population density",aus_data!$A:$A&amp;aus_data!$B:$B,aus_data!$D:$D))/MAX(F10,_xlfn.XLOOKUP(YEAR($C10)&amp;"Population density",aus_data!$A:$A&amp;aus_data!$B:$B,aus_data!$D:$D))</f>
        <v>4.8173276410009215E-2</v>
      </c>
      <c r="J10" s="101">
        <f t="shared" si="0"/>
        <v>0.43595979938631269</v>
      </c>
    </row>
    <row r="11" spans="1:10" x14ac:dyDescent="0.35">
      <c r="A11" s="50" t="s">
        <v>69</v>
      </c>
      <c r="B11" s="51" t="s">
        <v>64</v>
      </c>
      <c r="C11" s="52">
        <v>43374</v>
      </c>
      <c r="D11" s="100">
        <v>45337.241105858557</v>
      </c>
      <c r="E11" s="98">
        <v>3</v>
      </c>
      <c r="F11" s="101">
        <v>18.147950118452226</v>
      </c>
      <c r="G11" s="101" cm="1">
        <f t="array" ref="G11">MIN(D11,_xlfn.XLOOKUP(YEAR($C11)&amp;"Real GDP per capita (US$)",aus_data!$A:$A&amp;aus_data!$B:$B,aus_data!$D:$D))/MAX(D11,_xlfn.XLOOKUP(YEAR($C11)&amp;"Real GDP per capita (US$)",aus_data!$A:$A&amp;aus_data!$B:$B,aus_data!$D:$D))</f>
        <v>0.77458799327850947</v>
      </c>
      <c r="H11" s="101" cm="1">
        <f t="array" ref="H11">MIN(E11,_xlfn.XLOOKUP(YEAR($C11)&amp;"# of MNOs",aus_data!$A:$A&amp;aus_data!$B:$B,aus_data!$D:$D))/MAX(E11,_xlfn.XLOOKUP(YEAR($C11)&amp;"# of MNOs",aus_data!$A:$A&amp;aus_data!$B:$B,aus_data!$D:$D))</f>
        <v>1</v>
      </c>
      <c r="I11" s="101" cm="1">
        <f t="array" ref="I11">MIN(F11,_xlfn.XLOOKUP(YEAR($C11)&amp;"Population density",aus_data!$A:$A&amp;aus_data!$B:$B,aus_data!$D:$D))/MAX(F11,_xlfn.XLOOKUP(YEAR($C11)&amp;"Population density",aus_data!$A:$A&amp;aus_data!$B:$B,aus_data!$D:$D))</f>
        <v>0.17882707935151845</v>
      </c>
      <c r="J11" s="101">
        <f t="shared" si="0"/>
        <v>0.65113835754334271</v>
      </c>
    </row>
    <row r="12" spans="1:10" x14ac:dyDescent="0.35">
      <c r="A12" s="50" t="s">
        <v>70</v>
      </c>
      <c r="B12" s="51" t="s">
        <v>60</v>
      </c>
      <c r="C12" s="52">
        <v>44105</v>
      </c>
      <c r="D12" s="100">
        <v>35709.204585867963</v>
      </c>
      <c r="E12" s="98">
        <v>4</v>
      </c>
      <c r="F12" s="101">
        <v>123.4594937148096</v>
      </c>
      <c r="G12" s="101" cm="1">
        <f t="array" ref="G12">MIN(D12,_xlfn.XLOOKUP(YEAR($C12)&amp;"Real GDP per capita (US$)",aus_data!$A:$A&amp;aus_data!$B:$B,aus_data!$D:$D))/MAX(D12,_xlfn.XLOOKUP(YEAR($C12)&amp;"Real GDP per capita (US$)",aus_data!$A:$A&amp;aus_data!$B:$B,aus_data!$D:$D))</f>
        <v>0.61426949145335241</v>
      </c>
      <c r="H12" s="101" cm="1">
        <f t="array" ref="H12">MIN(E12,_xlfn.XLOOKUP(YEAR($C12)&amp;"# of MNOs",aus_data!$A:$A&amp;aus_data!$B:$B,aus_data!$D:$D))/MAX(E12,_xlfn.XLOOKUP(YEAR($C12)&amp;"# of MNOs",aus_data!$A:$A&amp;aus_data!$B:$B,aus_data!$D:$D))</f>
        <v>0.75</v>
      </c>
      <c r="I12" s="101" cm="1">
        <f t="array" ref="I12">MIN(F12,_xlfn.XLOOKUP(YEAR($C12)&amp;"Population density",aus_data!$A:$A&amp;aus_data!$B:$B,aus_data!$D:$D))/MAX(F12,_xlfn.XLOOKUP(YEAR($C12)&amp;"Population density",aus_data!$A:$A&amp;aus_data!$B:$B,aus_data!$D:$D))</f>
        <v>2.7009076831391424E-2</v>
      </c>
      <c r="J12" s="101">
        <f t="shared" si="0"/>
        <v>0.46375952276158133</v>
      </c>
    </row>
    <row r="13" spans="1:10" x14ac:dyDescent="0.35">
      <c r="A13" s="50" t="s">
        <v>71</v>
      </c>
      <c r="B13" s="51" t="s">
        <v>60</v>
      </c>
      <c r="C13" s="52">
        <v>43617</v>
      </c>
      <c r="D13" s="100">
        <v>44207.632051951376</v>
      </c>
      <c r="E13" s="98">
        <v>3</v>
      </c>
      <c r="F13" s="101">
        <v>237.82295429176565</v>
      </c>
      <c r="G13" s="101" cm="1">
        <f t="array" ref="G13">MIN(D13,_xlfn.XLOOKUP(YEAR($C13)&amp;"Real GDP per capita (US$)",aus_data!$A:$A&amp;aus_data!$B:$B,aus_data!$D:$D))/MAX(D13,_xlfn.XLOOKUP(YEAR($C13)&amp;"Real GDP per capita (US$)",aus_data!$A:$A&amp;aus_data!$B:$B,aus_data!$D:$D))</f>
        <v>0.75023897973564802</v>
      </c>
      <c r="H13" s="101" cm="1">
        <f t="array" ref="H13">MIN(E13,_xlfn.XLOOKUP(YEAR($C13)&amp;"# of MNOs",aus_data!$A:$A&amp;aus_data!$B:$B,aus_data!$D:$D))/MAX(E13,_xlfn.XLOOKUP(YEAR($C13)&amp;"# of MNOs",aus_data!$A:$A&amp;aus_data!$B:$B,aus_data!$D:$D))</f>
        <v>1</v>
      </c>
      <c r="I13" s="101" cm="1">
        <f t="array" ref="I13">MIN(F13,_xlfn.XLOOKUP(YEAR($C13)&amp;"Population density",aus_data!$A:$A&amp;aus_data!$B:$B,aus_data!$D:$D))/MAX(F13,_xlfn.XLOOKUP(YEAR($C13)&amp;"Population density",aus_data!$A:$A&amp;aus_data!$B:$B,aus_data!$D:$D))</f>
        <v>1.3849170162482828E-2</v>
      </c>
      <c r="J13" s="101">
        <f t="shared" si="0"/>
        <v>0.58802938329937693</v>
      </c>
    </row>
    <row r="14" spans="1:10" x14ac:dyDescent="0.35">
      <c r="A14" s="50" t="s">
        <v>72</v>
      </c>
      <c r="B14" s="51" t="s">
        <v>60</v>
      </c>
      <c r="C14" s="52">
        <v>44166</v>
      </c>
      <c r="D14" s="100">
        <v>17486.951380041486</v>
      </c>
      <c r="E14" s="98">
        <v>3</v>
      </c>
      <c r="F14" s="101">
        <v>82.999216446858028</v>
      </c>
      <c r="G14" s="101" cm="1">
        <f t="array" ref="G14">MIN(D14,_xlfn.XLOOKUP(YEAR($C14)&amp;"Real GDP per capita (US$)",aus_data!$A:$A&amp;aus_data!$B:$B,aus_data!$D:$D))/MAX(D14,_xlfn.XLOOKUP(YEAR($C14)&amp;"Real GDP per capita (US$)",aus_data!$A:$A&amp;aus_data!$B:$B,aus_data!$D:$D))</f>
        <v>0.30081041725411739</v>
      </c>
      <c r="H14" s="101" cm="1">
        <f t="array" ref="H14">MIN(E14,_xlfn.XLOOKUP(YEAR($C14)&amp;"# of MNOs",aus_data!$A:$A&amp;aus_data!$B:$B,aus_data!$D:$D))/MAX(E14,_xlfn.XLOOKUP(YEAR($C14)&amp;"# of MNOs",aus_data!$A:$A&amp;aus_data!$B:$B,aus_data!$D:$D))</f>
        <v>1</v>
      </c>
      <c r="I14" s="101" cm="1">
        <f t="array" ref="I14">MIN(F14,_xlfn.XLOOKUP(YEAR($C14)&amp;"Population density",aus_data!$A:$A&amp;aus_data!$B:$B,aus_data!$D:$D))/MAX(F14,_xlfn.XLOOKUP(YEAR($C14)&amp;"Population density",aus_data!$A:$A&amp;aus_data!$B:$B,aus_data!$D:$D))</f>
        <v>4.0175402781579016E-2</v>
      </c>
      <c r="J14" s="101">
        <f t="shared" si="0"/>
        <v>0.44699527334523209</v>
      </c>
    </row>
    <row r="15" spans="1:10" x14ac:dyDescent="0.35">
      <c r="A15" s="50" t="s">
        <v>73</v>
      </c>
      <c r="B15" s="51" t="s">
        <v>62</v>
      </c>
      <c r="C15" s="52">
        <v>43374</v>
      </c>
      <c r="D15" s="100">
        <v>31675.575801495146</v>
      </c>
      <c r="E15" s="98">
        <v>4</v>
      </c>
      <c r="F15" s="101">
        <v>204.32222590440892</v>
      </c>
      <c r="G15" s="101" cm="1">
        <f t="array" ref="G15">MIN(D15,_xlfn.XLOOKUP(YEAR($C15)&amp;"Real GDP per capita (US$)",aus_data!$A:$A&amp;aus_data!$B:$B,aus_data!$D:$D))/MAX(D15,_xlfn.XLOOKUP(YEAR($C15)&amp;"Real GDP per capita (US$)",aus_data!$A:$A&amp;aus_data!$B:$B,aus_data!$D:$D))</f>
        <v>0.54117807121816497</v>
      </c>
      <c r="H15" s="101" cm="1">
        <f t="array" ref="H15">MIN(E15,_xlfn.XLOOKUP(YEAR($C15)&amp;"# of MNOs",aus_data!$A:$A&amp;aus_data!$B:$B,aus_data!$D:$D))/MAX(E15,_xlfn.XLOOKUP(YEAR($C15)&amp;"# of MNOs",aus_data!$A:$A&amp;aus_data!$B:$B,aus_data!$D:$D))</f>
        <v>0.75</v>
      </c>
      <c r="I15" s="101" cm="1">
        <f t="array" ref="I15">MIN(F15,_xlfn.XLOOKUP(YEAR($C15)&amp;"Population density",aus_data!$A:$A&amp;aus_data!$B:$B,aus_data!$D:$D))/MAX(F15,_xlfn.XLOOKUP(YEAR($C15)&amp;"Population density",aus_data!$A:$A&amp;aus_data!$B:$B,aus_data!$D:$D))</f>
        <v>1.5883464960968919E-2</v>
      </c>
      <c r="J15" s="101">
        <f t="shared" si="0"/>
        <v>0.43568717872637802</v>
      </c>
    </row>
    <row r="16" spans="1:10" x14ac:dyDescent="0.35">
      <c r="A16" s="50" t="s">
        <v>74</v>
      </c>
      <c r="B16" s="51" t="s">
        <v>64</v>
      </c>
      <c r="C16" s="52">
        <v>44774</v>
      </c>
      <c r="D16" s="100">
        <v>18884.514857505139</v>
      </c>
      <c r="E16" s="98">
        <v>3</v>
      </c>
      <c r="F16" s="101">
        <v>45.230959683087342</v>
      </c>
      <c r="G16" s="101" cm="1">
        <f t="array" ref="G16">MIN(D16,_xlfn.XLOOKUP(YEAR($C16)&amp;"Real GDP per capita (US$)",aus_data!$A:$A&amp;aus_data!$B:$B,aus_data!$D:$D))/MAX(D16,_xlfn.XLOOKUP(YEAR($C16)&amp;"Real GDP per capita (US$)",aus_data!$A:$A&amp;aus_data!$B:$B,aus_data!$D:$D))</f>
        <v>0.30953244346879877</v>
      </c>
      <c r="H16" s="101" cm="1">
        <f t="array" ref="H16">MIN(E16,_xlfn.XLOOKUP(YEAR($C16)&amp;"# of MNOs",aus_data!$A:$A&amp;aus_data!$B:$B,aus_data!$D:$D))/MAX(E16,_xlfn.XLOOKUP(YEAR($C16)&amp;"# of MNOs",aus_data!$A:$A&amp;aus_data!$B:$B,aus_data!$D:$D))</f>
        <v>1</v>
      </c>
      <c r="I16" s="101" cm="1">
        <f t="array" ref="I16">MIN(F16,_xlfn.XLOOKUP(YEAR($C16)&amp;"Population density",aus_data!$A:$A&amp;aus_data!$B:$B,aus_data!$D:$D))/MAX(F16,_xlfn.XLOOKUP(YEAR($C16)&amp;"Population density",aus_data!$A:$A&amp;aus_data!$B:$B,aus_data!$D:$D))</f>
        <v>7.4771757672944777E-2</v>
      </c>
      <c r="J16" s="101">
        <f t="shared" si="0"/>
        <v>0.46143473371391447</v>
      </c>
    </row>
    <row r="17" spans="1:10" x14ac:dyDescent="0.35">
      <c r="A17" s="50" t="s">
        <v>75</v>
      </c>
      <c r="B17" s="51" t="s">
        <v>60</v>
      </c>
      <c r="C17" s="52">
        <v>44044</v>
      </c>
      <c r="D17" s="100">
        <v>104616.0346780102</v>
      </c>
      <c r="E17" s="98">
        <v>3</v>
      </c>
      <c r="F17" s="101">
        <v>244.87426489438562</v>
      </c>
      <c r="G17" s="101" cm="1">
        <f t="array" ref="G17">MIN(D17,_xlfn.XLOOKUP(YEAR($C17)&amp;"Real GDP per capita (US$)",aus_data!$A:$A&amp;aus_data!$B:$B,aus_data!$D:$D))/MAX(D17,_xlfn.XLOOKUP(YEAR($C17)&amp;"Real GDP per capita (US$)",aus_data!$A:$A&amp;aus_data!$B:$B,aus_data!$D:$D))</f>
        <v>0.55567770946918982</v>
      </c>
      <c r="H17" s="101" cm="1">
        <f t="array" ref="H17">MIN(E17,_xlfn.XLOOKUP(YEAR($C17)&amp;"# of MNOs",aus_data!$A:$A&amp;aus_data!$B:$B,aus_data!$D:$D))/MAX(E17,_xlfn.XLOOKUP(YEAR($C17)&amp;"# of MNOs",aus_data!$A:$A&amp;aus_data!$B:$B,aus_data!$D:$D))</f>
        <v>1</v>
      </c>
      <c r="I17" s="101" cm="1">
        <f t="array" ref="I17">MIN(F17,_xlfn.XLOOKUP(YEAR($C17)&amp;"Population density",aus_data!$A:$A&amp;aus_data!$B:$B,aus_data!$D:$D))/MAX(F17,_xlfn.XLOOKUP(YEAR($C17)&amp;"Population density",aus_data!$A:$A&amp;aus_data!$B:$B,aus_data!$D:$D))</f>
        <v>1.3617302548089984E-2</v>
      </c>
      <c r="J17" s="101">
        <f t="shared" si="0"/>
        <v>0.52309833733909328</v>
      </c>
    </row>
    <row r="18" spans="1:10" x14ac:dyDescent="0.35">
      <c r="A18" s="50" t="s">
        <v>76</v>
      </c>
      <c r="B18" s="51" t="s">
        <v>60</v>
      </c>
      <c r="C18" s="52">
        <v>44440</v>
      </c>
      <c r="D18" s="100">
        <v>77812.711568210303</v>
      </c>
      <c r="E18" s="98">
        <v>3</v>
      </c>
      <c r="F18" s="101">
        <v>14.847009086666484</v>
      </c>
      <c r="G18" s="101" cm="1">
        <f t="array" ref="G18">MIN(D18,_xlfn.XLOOKUP(YEAR($C18)&amp;"Real GDP per capita (US$)",aus_data!$A:$A&amp;aus_data!$B:$B,aus_data!$D:$D))/MAX(D18,_xlfn.XLOOKUP(YEAR($C18)&amp;"Real GDP per capita (US$)",aus_data!$A:$A&amp;aus_data!$B:$B,aus_data!$D:$D))</f>
        <v>0.76178431406076141</v>
      </c>
      <c r="H18" s="101" cm="1">
        <f t="array" ref="H18">MIN(E18,_xlfn.XLOOKUP(YEAR($C18)&amp;"# of MNOs",aus_data!$A:$A&amp;aus_data!$B:$B,aus_data!$D:$D))/MAX(E18,_xlfn.XLOOKUP(YEAR($C18)&amp;"# of MNOs",aus_data!$A:$A&amp;aus_data!$B:$B,aus_data!$D:$D))</f>
        <v>1</v>
      </c>
      <c r="I18" s="101" cm="1">
        <f t="array" ref="I18">MIN(F18,_xlfn.XLOOKUP(YEAR($C18)&amp;"Population density",aus_data!$A:$A&amp;aus_data!$B:$B,aus_data!$D:$D))/MAX(F18,_xlfn.XLOOKUP(YEAR($C18)&amp;"Population density",aus_data!$A:$A&amp;aus_data!$B:$B,aus_data!$D:$D))</f>
        <v>0.22490916706872316</v>
      </c>
      <c r="J18" s="101">
        <f t="shared" si="0"/>
        <v>0.66223116037649488</v>
      </c>
    </row>
    <row r="19" spans="1:10" x14ac:dyDescent="0.35">
      <c r="A19" s="50" t="s">
        <v>77</v>
      </c>
      <c r="B19" s="51" t="s">
        <v>60</v>
      </c>
      <c r="C19" s="52">
        <v>45170</v>
      </c>
      <c r="D19" s="100">
        <v>17391.144148110157</v>
      </c>
      <c r="E19" s="98">
        <v>4</v>
      </c>
      <c r="F19" s="101">
        <v>119.85805808749062</v>
      </c>
      <c r="G19" s="101" cm="1">
        <f t="array" ref="G19">MIN(D19,_xlfn.XLOOKUP(YEAR($C19)&amp;"Real GDP per capita (US$)",aus_data!$A:$A&amp;aus_data!$B:$B,aus_data!$D:$D))/MAX(D19,_xlfn.XLOOKUP(YEAR($C19)&amp;"Real GDP per capita (US$)",aus_data!$A:$A&amp;aus_data!$B:$B,aus_data!$D:$D))</f>
        <v>0.28239749045813228</v>
      </c>
      <c r="H19" s="101" cm="1">
        <f t="array" ref="H19">MIN(E19,_xlfn.XLOOKUP(YEAR($C19)&amp;"# of MNOs",aus_data!$A:$A&amp;aus_data!$B:$B,aus_data!$D:$D))/MAX(E19,_xlfn.XLOOKUP(YEAR($C19)&amp;"# of MNOs",aus_data!$A:$A&amp;aus_data!$B:$B,aus_data!$D:$D))</f>
        <v>0.75</v>
      </c>
      <c r="I19" s="101" cm="1">
        <f t="array" ref="I19">MIN(F19,_xlfn.XLOOKUP(YEAR($C19)&amp;"Population density",aus_data!$A:$A&amp;aus_data!$B:$B,aus_data!$D:$D))/MAX(F19,_xlfn.XLOOKUP(YEAR($C19)&amp;"Population density",aus_data!$A:$A&amp;aus_data!$B:$B,aus_data!$D:$D))</f>
        <v>2.8915810217141399E-2</v>
      </c>
      <c r="J19" s="101">
        <f t="shared" si="0"/>
        <v>0.35377110022509123</v>
      </c>
    </row>
    <row r="20" spans="1:10" x14ac:dyDescent="0.35">
      <c r="A20" s="50" t="s">
        <v>79</v>
      </c>
      <c r="B20" s="51" t="s">
        <v>60</v>
      </c>
      <c r="C20" s="52">
        <v>44470</v>
      </c>
      <c r="D20" s="100">
        <v>20747.699097903107</v>
      </c>
      <c r="E20" s="98">
        <v>3</v>
      </c>
      <c r="F20" s="101">
        <v>113.11351052774066</v>
      </c>
      <c r="G20" s="101" cm="1">
        <f t="array" ref="G20">MIN(D20,_xlfn.XLOOKUP(YEAR($C20)&amp;"Real GDP per capita (US$)",aus_data!$A:$A&amp;aus_data!$B:$B,aus_data!$D:$D))/MAX(D20,_xlfn.XLOOKUP(YEAR($C20)&amp;"Real GDP per capita (US$)",aus_data!$A:$A&amp;aus_data!$B:$B,aus_data!$D:$D))</f>
        <v>0.35001557126915034</v>
      </c>
      <c r="H20" s="101" cm="1">
        <f t="array" ref="H20">MIN(E20,_xlfn.XLOOKUP(YEAR($C20)&amp;"# of MNOs",aus_data!$A:$A&amp;aus_data!$B:$B,aus_data!$D:$D))/MAX(E20,_xlfn.XLOOKUP(YEAR($C20)&amp;"# of MNOs",aus_data!$A:$A&amp;aus_data!$B:$B,aus_data!$D:$D))</f>
        <v>1</v>
      </c>
      <c r="I20" s="101" cm="1">
        <f t="array" ref="I20">MIN(F20,_xlfn.XLOOKUP(YEAR($C20)&amp;"Population density",aus_data!$A:$A&amp;aus_data!$B:$B,aus_data!$D:$D))/MAX(F20,_xlfn.XLOOKUP(YEAR($C20)&amp;"Population density",aus_data!$A:$A&amp;aus_data!$B:$B,aus_data!$D:$D))</f>
        <v>2.9521039808281701E-2</v>
      </c>
      <c r="J20" s="101">
        <f t="shared" si="0"/>
        <v>0.45984553702581071</v>
      </c>
    </row>
    <row r="21" spans="1:10" x14ac:dyDescent="0.35">
      <c r="A21" s="50" t="s">
        <v>80</v>
      </c>
      <c r="B21" s="51" t="s">
        <v>64</v>
      </c>
      <c r="C21" s="52">
        <v>44743</v>
      </c>
      <c r="D21" s="100">
        <v>18959.681836305688</v>
      </c>
      <c r="E21" s="98">
        <v>4</v>
      </c>
      <c r="F21" s="101">
        <v>112.97321131447588</v>
      </c>
      <c r="G21" s="101" cm="1">
        <f t="array" ref="G21">MIN(D21,_xlfn.XLOOKUP(YEAR($C21)&amp;"Real GDP per capita (US$)",aus_data!$A:$A&amp;aus_data!$B:$B,aus_data!$D:$D))/MAX(D21,_xlfn.XLOOKUP(YEAR($C21)&amp;"Real GDP per capita (US$)",aus_data!$A:$A&amp;aus_data!$B:$B,aus_data!$D:$D))</f>
        <v>0.31076449093159364</v>
      </c>
      <c r="H21" s="101" cm="1">
        <f t="array" ref="H21">MIN(E21,_xlfn.XLOOKUP(YEAR($C21)&amp;"# of MNOs",aus_data!$A:$A&amp;aus_data!$B:$B,aus_data!$D:$D))/MAX(E21,_xlfn.XLOOKUP(YEAR($C21)&amp;"# of MNOs",aus_data!$A:$A&amp;aus_data!$B:$B,aus_data!$D:$D))</f>
        <v>0.75</v>
      </c>
      <c r="I21" s="101" cm="1">
        <f t="array" ref="I21">MIN(F21,_xlfn.XLOOKUP(YEAR($C21)&amp;"Population density",aus_data!$A:$A&amp;aus_data!$B:$B,aus_data!$D:$D))/MAX(F21,_xlfn.XLOOKUP(YEAR($C21)&amp;"Population density",aus_data!$A:$A&amp;aus_data!$B:$B,aus_data!$D:$D))</f>
        <v>2.9936285933523678E-2</v>
      </c>
      <c r="J21" s="101">
        <f t="shared" si="0"/>
        <v>0.36356692562170578</v>
      </c>
    </row>
    <row r="22" spans="1:10" x14ac:dyDescent="0.35">
      <c r="A22" s="50" t="s">
        <v>81</v>
      </c>
      <c r="B22" s="51" t="s">
        <v>60</v>
      </c>
      <c r="C22" s="52">
        <v>44287</v>
      </c>
      <c r="D22" s="100">
        <v>24659.249901338451</v>
      </c>
      <c r="E22" s="98">
        <v>4</v>
      </c>
      <c r="F22" s="101">
        <v>104.68996444250213</v>
      </c>
      <c r="G22" s="101" cm="1">
        <f t="array" ref="G22">MIN(D22,_xlfn.XLOOKUP(YEAR($C22)&amp;"Real GDP per capita (US$)",aus_data!$A:$A&amp;aus_data!$B:$B,aus_data!$D:$D))/MAX(D22,_xlfn.XLOOKUP(YEAR($C22)&amp;"Real GDP per capita (US$)",aus_data!$A:$A&amp;aus_data!$B:$B,aus_data!$D:$D))</f>
        <v>0.4160037891699534</v>
      </c>
      <c r="H22" s="101" cm="1">
        <f t="array" ref="H22">MIN(E22,_xlfn.XLOOKUP(YEAR($C22)&amp;"# of MNOs",aus_data!$A:$A&amp;aus_data!$B:$B,aus_data!$D:$D))/MAX(E22,_xlfn.XLOOKUP(YEAR($C22)&amp;"# of MNOs",aus_data!$A:$A&amp;aus_data!$B:$B,aus_data!$D:$D))</f>
        <v>0.75</v>
      </c>
      <c r="I22" s="101" cm="1">
        <f t="array" ref="I22">MIN(F22,_xlfn.XLOOKUP(YEAR($C22)&amp;"Population density",aus_data!$A:$A&amp;aus_data!$B:$B,aus_data!$D:$D))/MAX(F22,_xlfn.XLOOKUP(YEAR($C22)&amp;"Population density",aus_data!$A:$A&amp;aus_data!$B:$B,aus_data!$D:$D))</f>
        <v>3.1896356684483311E-2</v>
      </c>
      <c r="J22" s="101">
        <f t="shared" si="0"/>
        <v>0.3993000486181455</v>
      </c>
    </row>
    <row r="23" spans="1:10" x14ac:dyDescent="0.35">
      <c r="A23" s="50" t="s">
        <v>82</v>
      </c>
      <c r="B23" s="51" t="s">
        <v>64</v>
      </c>
      <c r="C23" s="52">
        <v>43252</v>
      </c>
      <c r="D23" s="100">
        <v>31059.266808792658</v>
      </c>
      <c r="E23" s="98">
        <v>3</v>
      </c>
      <c r="F23" s="101">
        <v>528.96901148482368</v>
      </c>
      <c r="G23" s="101" cm="1">
        <f t="array" ref="G23">MIN(D23,_xlfn.XLOOKUP(YEAR($C23)&amp;"Real GDP per capita (US$)",aus_data!$A:$A&amp;aus_data!$B:$B,aus_data!$D:$D))/MAX(D23,_xlfn.XLOOKUP(YEAR($C23)&amp;"Real GDP per capita (US$)",aus_data!$A:$A&amp;aus_data!$B:$B,aus_data!$D:$D))</f>
        <v>0.53064841537117013</v>
      </c>
      <c r="H23" s="101" cm="1">
        <f t="array" ref="H23">MIN(E23,_xlfn.XLOOKUP(YEAR($C23)&amp;"# of MNOs",aus_data!$A:$A&amp;aus_data!$B:$B,aus_data!$D:$D))/MAX(E23,_xlfn.XLOOKUP(YEAR($C23)&amp;"# of MNOs",aus_data!$A:$A&amp;aus_data!$B:$B,aus_data!$D:$D))</f>
        <v>1</v>
      </c>
      <c r="I23" s="101" cm="1">
        <f t="array" ref="I23">MIN(F23,_xlfn.XLOOKUP(YEAR($C23)&amp;"Population density",aus_data!$A:$A&amp;aus_data!$B:$B,aus_data!$D:$D))/MAX(F23,_xlfn.XLOOKUP(YEAR($C23)&amp;"Population density",aus_data!$A:$A&amp;aus_data!$B:$B,aus_data!$D:$D))</f>
        <v>6.1352269139360819E-3</v>
      </c>
      <c r="J23" s="101">
        <f t="shared" si="0"/>
        <v>0.51226121409503544</v>
      </c>
    </row>
    <row r="24" spans="1:10" x14ac:dyDescent="0.35">
      <c r="A24" s="50" t="s">
        <v>83</v>
      </c>
      <c r="B24" s="51" t="s">
        <v>62</v>
      </c>
      <c r="C24" s="52">
        <v>43282</v>
      </c>
      <c r="D24" s="100">
        <v>27947.317765261942</v>
      </c>
      <c r="E24" s="98">
        <v>4</v>
      </c>
      <c r="F24" s="101">
        <v>93.669792079250115</v>
      </c>
      <c r="G24" s="101" cm="1">
        <f t="array" ref="G24">MIN(D24,_xlfn.XLOOKUP(YEAR($C24)&amp;"Real GDP per capita (US$)",aus_data!$A:$A&amp;aus_data!$B:$B,aus_data!$D:$D))/MAX(D24,_xlfn.XLOOKUP(YEAR($C24)&amp;"Real GDP per capita (US$)",aus_data!$A:$A&amp;aus_data!$B:$B,aus_data!$D:$D))</f>
        <v>0.47748068160490115</v>
      </c>
      <c r="H24" s="101" cm="1">
        <f t="array" ref="H24">MIN(E24,_xlfn.XLOOKUP(YEAR($C24)&amp;"# of MNOs",aus_data!$A:$A&amp;aus_data!$B:$B,aus_data!$D:$D))/MAX(E24,_xlfn.XLOOKUP(YEAR($C24)&amp;"# of MNOs",aus_data!$A:$A&amp;aus_data!$B:$B,aus_data!$D:$D))</f>
        <v>0.75</v>
      </c>
      <c r="I24" s="101" cm="1">
        <f t="array" ref="I24">MIN(F24,_xlfn.XLOOKUP(YEAR($C24)&amp;"Population density",aus_data!$A:$A&amp;aus_data!$B:$B,aus_data!$D:$D))/MAX(F24,_xlfn.XLOOKUP(YEAR($C24)&amp;"Population density",aus_data!$A:$A&amp;aus_data!$B:$B,aus_data!$D:$D))</f>
        <v>3.4646654421460692E-2</v>
      </c>
      <c r="J24" s="101">
        <f t="shared" si="0"/>
        <v>0.4207091120087873</v>
      </c>
    </row>
    <row r="25" spans="1:10" x14ac:dyDescent="0.35">
      <c r="A25" s="50" t="s">
        <v>84</v>
      </c>
      <c r="B25" s="51" t="s">
        <v>64</v>
      </c>
      <c r="C25" s="52">
        <v>44105</v>
      </c>
      <c r="D25" s="100">
        <v>51715.781040959962</v>
      </c>
      <c r="E25" s="98">
        <v>3</v>
      </c>
      <c r="F25" s="101">
        <v>25.420943822431742</v>
      </c>
      <c r="G25" s="101" cm="1">
        <f t="array" ref="G25">MIN(D25,_xlfn.XLOOKUP(YEAR($C25)&amp;"Real GDP per capita (US$)",aus_data!$A:$A&amp;aus_data!$B:$B,aus_data!$D:$D))/MAX(D25,_xlfn.XLOOKUP(YEAR($C25)&amp;"Real GDP per capita (US$)",aus_data!$A:$A&amp;aus_data!$B:$B,aus_data!$D:$D))</f>
        <v>0.88961450943982845</v>
      </c>
      <c r="H25" s="101" cm="1">
        <f t="array" ref="H25">MIN(E25,_xlfn.XLOOKUP(YEAR($C25)&amp;"# of MNOs",aus_data!$A:$A&amp;aus_data!$B:$B,aus_data!$D:$D))/MAX(E25,_xlfn.XLOOKUP(YEAR($C25)&amp;"# of MNOs",aus_data!$A:$A&amp;aus_data!$B:$B,aus_data!$D:$D))</f>
        <v>1</v>
      </c>
      <c r="I25" s="101" cm="1">
        <f t="array" ref="I25">MIN(F25,_xlfn.XLOOKUP(YEAR($C25)&amp;"Population density",aus_data!$A:$A&amp;aus_data!$B:$B,aus_data!$D:$D))/MAX(F25,_xlfn.XLOOKUP(YEAR($C25)&amp;"Population density",aus_data!$A:$A&amp;aus_data!$B:$B,aus_data!$D:$D))</f>
        <v>0.13117242910412921</v>
      </c>
      <c r="J25" s="101">
        <f t="shared" si="0"/>
        <v>0.67359564618131929</v>
      </c>
    </row>
    <row r="26" spans="1:10" x14ac:dyDescent="0.35">
      <c r="A26" s="50" t="s">
        <v>85</v>
      </c>
      <c r="B26" s="51" t="s">
        <v>19</v>
      </c>
      <c r="C26" s="52">
        <v>43191</v>
      </c>
      <c r="D26" s="100">
        <v>46742.148119049307</v>
      </c>
      <c r="E26" s="98">
        <v>4</v>
      </c>
      <c r="F26" s="101">
        <v>274.70898193692392</v>
      </c>
      <c r="G26" s="101" cm="1">
        <f t="array" ref="G26">MIN(D26,_xlfn.XLOOKUP(YEAR($C26)&amp;"Real GDP per capita (US$)",aus_data!$A:$A&amp;aus_data!$B:$B,aus_data!$D:$D))/MAX(D26,_xlfn.XLOOKUP(YEAR($C26)&amp;"Real GDP per capita (US$)",aus_data!$A:$A&amp;aus_data!$B:$B,aus_data!$D:$D))</f>
        <v>0.79859086768256549</v>
      </c>
      <c r="H26" s="101" cm="1">
        <f t="array" ref="H26">MIN(E26,_xlfn.XLOOKUP(YEAR($C26)&amp;"# of MNOs",aus_data!$A:$A&amp;aus_data!$B:$B,aus_data!$D:$D))/MAX(E26,_xlfn.XLOOKUP(YEAR($C26)&amp;"# of MNOs",aus_data!$A:$A&amp;aus_data!$B:$B,aus_data!$D:$D))</f>
        <v>0.75</v>
      </c>
      <c r="I26" s="101" cm="1">
        <f t="array" ref="I26">MIN(F26,_xlfn.XLOOKUP(YEAR($C26)&amp;"Population density",aus_data!$A:$A&amp;aus_data!$B:$B,aus_data!$D:$D))/MAX(F26,_xlfn.XLOOKUP(YEAR($C26)&amp;"Population density",aus_data!$A:$A&amp;aus_data!$B:$B,aus_data!$D:$D))</f>
        <v>1.1813756117537577E-2</v>
      </c>
      <c r="J26" s="101">
        <f t="shared" si="0"/>
        <v>0.52013487460003438</v>
      </c>
    </row>
    <row r="27" spans="1:10" x14ac:dyDescent="0.35">
      <c r="A27" s="50" t="s">
        <v>85</v>
      </c>
      <c r="B27" s="51" t="s">
        <v>60</v>
      </c>
      <c r="C27" s="52">
        <v>44256</v>
      </c>
      <c r="D27" s="100">
        <v>45873.869597011049</v>
      </c>
      <c r="E27" s="98">
        <v>4</v>
      </c>
      <c r="F27" s="101">
        <v>277.04828669449842</v>
      </c>
      <c r="G27" s="101" cm="1">
        <f t="array" ref="G27">MIN(D27,_xlfn.XLOOKUP(YEAR($C27)&amp;"Real GDP per capita (US$)",aus_data!$A:$A&amp;aus_data!$B:$B,aus_data!$D:$D))/MAX(D27,_xlfn.XLOOKUP(YEAR($C27)&amp;"Real GDP per capita (US$)",aus_data!$A:$A&amp;aus_data!$B:$B,aus_data!$D:$D))</f>
        <v>0.77389635340080221</v>
      </c>
      <c r="H27" s="101" cm="1">
        <f t="array" ref="H27">MIN(E27,_xlfn.XLOOKUP(YEAR($C27)&amp;"# of MNOs",aus_data!$A:$A&amp;aus_data!$B:$B,aus_data!$D:$D))/MAX(E27,_xlfn.XLOOKUP(YEAR($C27)&amp;"# of MNOs",aus_data!$A:$A&amp;aus_data!$B:$B,aus_data!$D:$D))</f>
        <v>0.75</v>
      </c>
      <c r="I27" s="101" cm="1">
        <f t="array" ref="I27">MIN(F27,_xlfn.XLOOKUP(YEAR($C27)&amp;"Population density",aus_data!$A:$A&amp;aus_data!$B:$B,aus_data!$D:$D))/MAX(F27,_xlfn.XLOOKUP(YEAR($C27)&amp;"Population density",aus_data!$A:$A&amp;aus_data!$B:$B,aus_data!$D:$D))</f>
        <v>1.2052875283889035E-2</v>
      </c>
      <c r="J27" s="101">
        <f t="shared" si="0"/>
        <v>0.51198307622823036</v>
      </c>
    </row>
    <row r="28" spans="1:10" x14ac:dyDescent="0.35">
      <c r="A28" s="50" t="s">
        <v>86</v>
      </c>
      <c r="B28" s="51" t="s">
        <v>62</v>
      </c>
      <c r="C28" s="52">
        <v>44228</v>
      </c>
      <c r="D28" s="100">
        <v>62996.289383744435</v>
      </c>
      <c r="E28" s="98">
        <v>3</v>
      </c>
      <c r="F28" s="101">
        <v>36.299741019872272</v>
      </c>
      <c r="G28" s="101" cm="1">
        <f t="array" ref="G28">MIN(D28,_xlfn.XLOOKUP(YEAR($C28)&amp;"Real GDP per capita (US$)",aus_data!$A:$A&amp;aus_data!$B:$B,aus_data!$D:$D))/MAX(D28,_xlfn.XLOOKUP(YEAR($C28)&amp;"Real GDP per capita (US$)",aus_data!$A:$A&amp;aus_data!$B:$B,aus_data!$D:$D))</f>
        <v>0.94095229555683435</v>
      </c>
      <c r="H28" s="101" cm="1">
        <f t="array" ref="H28">MIN(E28,_xlfn.XLOOKUP(YEAR($C28)&amp;"# of MNOs",aus_data!$A:$A&amp;aus_data!$B:$B,aus_data!$D:$D))/MAX(E28,_xlfn.XLOOKUP(YEAR($C28)&amp;"# of MNOs",aus_data!$A:$A&amp;aus_data!$B:$B,aus_data!$D:$D))</f>
        <v>1</v>
      </c>
      <c r="I28" s="101" cm="1">
        <f t="array" ref="I28">MIN(F28,_xlfn.XLOOKUP(YEAR($C28)&amp;"Population density",aus_data!$A:$A&amp;aus_data!$B:$B,aus_data!$D:$D))/MAX(F28,_xlfn.XLOOKUP(YEAR($C28)&amp;"Population density",aus_data!$A:$A&amp;aus_data!$B:$B,aus_data!$D:$D))</f>
        <v>9.1990420684154861E-2</v>
      </c>
      <c r="J28" s="101">
        <f t="shared" si="0"/>
        <v>0.67764757208032977</v>
      </c>
    </row>
    <row r="29" spans="1:10" x14ac:dyDescent="0.35">
      <c r="A29" s="50" t="s">
        <v>86</v>
      </c>
      <c r="B29" s="51" t="s">
        <v>87</v>
      </c>
      <c r="C29" s="52">
        <v>44470</v>
      </c>
      <c r="D29" s="100">
        <v>62996.289383744435</v>
      </c>
      <c r="E29" s="98">
        <v>3</v>
      </c>
      <c r="F29" s="101">
        <v>36.299741019872272</v>
      </c>
      <c r="G29" s="101" cm="1">
        <f t="array" ref="G29">MIN(D29,_xlfn.XLOOKUP(YEAR($C29)&amp;"Real GDP per capita (US$)",aus_data!$A:$A&amp;aus_data!$B:$B,aus_data!$D:$D))/MAX(D29,_xlfn.XLOOKUP(YEAR($C29)&amp;"Real GDP per capita (US$)",aus_data!$A:$A&amp;aus_data!$B:$B,aus_data!$D:$D))</f>
        <v>0.94095229555683435</v>
      </c>
      <c r="H29" s="101" cm="1">
        <f t="array" ref="H29">MIN(E29,_xlfn.XLOOKUP(YEAR($C29)&amp;"# of MNOs",aus_data!$A:$A&amp;aus_data!$B:$B,aus_data!$D:$D))/MAX(E29,_xlfn.XLOOKUP(YEAR($C29)&amp;"# of MNOs",aus_data!$A:$A&amp;aus_data!$B:$B,aus_data!$D:$D))</f>
        <v>1</v>
      </c>
      <c r="I29" s="101" cm="1">
        <f t="array" ref="I29">MIN(F29,_xlfn.XLOOKUP(YEAR($C29)&amp;"Population density",aus_data!$A:$A&amp;aus_data!$B:$B,aus_data!$D:$D))/MAX(F29,_xlfn.XLOOKUP(YEAR($C29)&amp;"Population density",aus_data!$A:$A&amp;aus_data!$B:$B,aus_data!$D:$D))</f>
        <v>9.1990420684154861E-2</v>
      </c>
      <c r="J29" s="101">
        <f t="shared" si="0"/>
        <v>0.67764757208032977</v>
      </c>
    </row>
    <row r="30" spans="1:10" x14ac:dyDescent="0.35">
      <c r="A30" s="50" t="s">
        <v>88</v>
      </c>
      <c r="B30" s="51" t="s">
        <v>64</v>
      </c>
      <c r="C30" s="52">
        <v>45047</v>
      </c>
      <c r="D30" s="100">
        <v>18295.90667647422</v>
      </c>
      <c r="E30" s="98">
        <v>3</v>
      </c>
      <c r="F30" s="101">
        <v>19.358250485658786</v>
      </c>
      <c r="G30" s="101" cm="1">
        <f t="array" ref="G30">MIN(D30,_xlfn.XLOOKUP(YEAR($C30)&amp;"Real GDP per capita (US$)",aus_data!$A:$A&amp;aus_data!$B:$B,aus_data!$D:$D))/MAX(D30,_xlfn.XLOOKUP(YEAR($C30)&amp;"Real GDP per capita (US$)",aus_data!$A:$A&amp;aus_data!$B:$B,aus_data!$D:$D))</f>
        <v>0.29708902916855867</v>
      </c>
      <c r="H30" s="101" cm="1">
        <f t="array" ref="H30">MIN(E30,_xlfn.XLOOKUP(YEAR($C30)&amp;"# of MNOs",aus_data!$A:$A&amp;aus_data!$B:$B,aus_data!$D:$D))/MAX(E30,_xlfn.XLOOKUP(YEAR($C30)&amp;"# of MNOs",aus_data!$A:$A&amp;aus_data!$B:$B,aus_data!$D:$D))</f>
        <v>1</v>
      </c>
      <c r="I30" s="101" cm="1">
        <f t="array" ref="I30">MIN(F30,_xlfn.XLOOKUP(YEAR($C30)&amp;"Population density",aus_data!$A:$A&amp;aus_data!$B:$B,aus_data!$D:$D))/MAX(F30,_xlfn.XLOOKUP(YEAR($C30)&amp;"Population density",aus_data!$A:$A&amp;aus_data!$B:$B,aus_data!$D:$D))</f>
        <v>0.17903440516076383</v>
      </c>
      <c r="J30" s="101">
        <f t="shared" si="0"/>
        <v>0.49204114477644079</v>
      </c>
    </row>
    <row r="31" spans="1:10" x14ac:dyDescent="0.35">
      <c r="D31" s="100"/>
      <c r="F31" s="101"/>
      <c r="G31" s="101"/>
      <c r="H31" s="101"/>
      <c r="I31" s="101"/>
      <c r="J31" s="101"/>
    </row>
    <row r="32" spans="1:10" x14ac:dyDescent="0.35">
      <c r="D32" s="100"/>
      <c r="F32" s="101"/>
      <c r="G32" s="101"/>
      <c r="H32" s="101"/>
      <c r="I32" s="101"/>
      <c r="J32" s="101"/>
    </row>
    <row r="33" spans="4:10" x14ac:dyDescent="0.35">
      <c r="D33" s="100"/>
      <c r="F33" s="101"/>
      <c r="G33" s="101"/>
      <c r="H33" s="101"/>
      <c r="I33" s="101"/>
      <c r="J33" s="101"/>
    </row>
    <row r="34" spans="4:10" x14ac:dyDescent="0.35">
      <c r="D34" s="100"/>
      <c r="F34" s="101"/>
      <c r="G34" s="101"/>
      <c r="H34" s="101"/>
      <c r="I34" s="101"/>
      <c r="J34" s="101"/>
    </row>
    <row r="35" spans="4:10" x14ac:dyDescent="0.35">
      <c r="D35" s="100"/>
      <c r="F35" s="101"/>
      <c r="G35" s="101"/>
      <c r="H35" s="101"/>
      <c r="I35" s="101"/>
      <c r="J35" s="101"/>
    </row>
    <row r="36" spans="4:10" x14ac:dyDescent="0.35">
      <c r="D36" s="100"/>
      <c r="F36" s="101"/>
      <c r="G36" s="101"/>
      <c r="H36" s="101"/>
      <c r="I36" s="101"/>
      <c r="J36" s="101"/>
    </row>
    <row r="37" spans="4:10" x14ac:dyDescent="0.35">
      <c r="D37" s="100"/>
      <c r="F37" s="101"/>
      <c r="G37" s="101"/>
      <c r="H37" s="101"/>
      <c r="I37" s="101"/>
      <c r="J37" s="101"/>
    </row>
    <row r="38" spans="4:10" x14ac:dyDescent="0.35">
      <c r="D38" s="100"/>
      <c r="F38" s="101"/>
      <c r="G38" s="101"/>
      <c r="H38" s="101"/>
      <c r="I38" s="101"/>
      <c r="J38" s="10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82B9E-92CB-4AA4-8A7E-11EDD9A7CEC3}">
  <sheetPr>
    <tabColor theme="9" tint="0.79998168889431442"/>
  </sheetPr>
  <dimension ref="A1:L59"/>
  <sheetViews>
    <sheetView workbookViewId="0">
      <pane xSplit="3" ySplit="1" topLeftCell="D2" activePane="bottomRight" state="frozen"/>
      <selection pane="topRight" activeCell="D1" sqref="D1"/>
      <selection pane="bottomLeft" activeCell="A2" sqref="A2"/>
      <selection pane="bottomRight" activeCell="B6" sqref="B6"/>
    </sheetView>
  </sheetViews>
  <sheetFormatPr defaultRowHeight="14.5" x14ac:dyDescent="0.35"/>
  <cols>
    <col min="1" max="1" width="20.6328125" style="34" customWidth="1"/>
    <col min="2" max="2" width="20.6328125" style="33" customWidth="1"/>
    <col min="3" max="3" width="17.6328125" style="33" customWidth="1"/>
    <col min="4" max="9" width="20.6328125" style="33" customWidth="1"/>
  </cols>
  <sheetData>
    <row r="1" spans="1:12" s="42" customFormat="1" ht="40" customHeight="1" x14ac:dyDescent="0.35">
      <c r="A1" s="45" t="s">
        <v>48</v>
      </c>
      <c r="B1" s="46" t="s">
        <v>32</v>
      </c>
      <c r="C1" s="49" t="s">
        <v>49</v>
      </c>
      <c r="D1" s="46" t="s">
        <v>119</v>
      </c>
      <c r="E1" s="46" t="s">
        <v>120</v>
      </c>
      <c r="F1" s="46" t="s">
        <v>121</v>
      </c>
      <c r="G1" s="46" t="s">
        <v>122</v>
      </c>
      <c r="H1" s="46" t="s">
        <v>123</v>
      </c>
      <c r="I1" s="46" t="s">
        <v>124</v>
      </c>
      <c r="J1" s="67"/>
      <c r="K1" s="54"/>
      <c r="L1" s="53"/>
    </row>
    <row r="2" spans="1:12" x14ac:dyDescent="0.35">
      <c r="A2" s="50" t="s">
        <v>59</v>
      </c>
      <c r="B2" s="51" t="s">
        <v>60</v>
      </c>
      <c r="C2" s="52">
        <v>43435</v>
      </c>
      <c r="D2" s="102">
        <v>3.0799556038409257E-2</v>
      </c>
      <c r="E2" s="102">
        <v>3.0799556038409257E-2</v>
      </c>
      <c r="F2" s="102">
        <v>3.0799556038409257E-2</v>
      </c>
      <c r="G2" s="102">
        <v>3.0799556038409257E-2</v>
      </c>
      <c r="H2" s="102">
        <v>3.0799556038409257E-2</v>
      </c>
      <c r="I2" s="102">
        <v>3.0799556038409257E-2</v>
      </c>
      <c r="J2" s="2"/>
    </row>
    <row r="3" spans="1:12" x14ac:dyDescent="0.35">
      <c r="A3" s="50" t="s">
        <v>59</v>
      </c>
      <c r="B3" s="51" t="s">
        <v>19</v>
      </c>
      <c r="C3" s="52">
        <v>45231</v>
      </c>
      <c r="D3" s="102">
        <v>1.2024540598744979E-2</v>
      </c>
      <c r="E3" s="102">
        <v>1.2024540598744979E-2</v>
      </c>
      <c r="F3" s="102">
        <v>1.2024540598744979E-2</v>
      </c>
      <c r="G3" s="102">
        <v>1.2024540598744979E-2</v>
      </c>
      <c r="H3" s="102">
        <v>1.2024540598744979E-2</v>
      </c>
      <c r="I3" s="102">
        <v>1.2024540598744979E-2</v>
      </c>
      <c r="J3" s="2"/>
    </row>
    <row r="4" spans="1:12" x14ac:dyDescent="0.35">
      <c r="A4" s="50" t="s">
        <v>59</v>
      </c>
      <c r="B4" s="51" t="s">
        <v>62</v>
      </c>
      <c r="C4" s="52">
        <v>45231</v>
      </c>
      <c r="D4" s="102">
        <v>2.7897452365872853E-2</v>
      </c>
      <c r="E4" s="102">
        <v>2.7897452365872853E-2</v>
      </c>
      <c r="F4" s="102">
        <v>2.7897452365872853E-2</v>
      </c>
      <c r="G4" s="102">
        <v>2.7897452365872853E-2</v>
      </c>
      <c r="H4" s="102">
        <v>2.7897452365872853E-2</v>
      </c>
      <c r="I4" s="102">
        <v>2.7897452365872853E-2</v>
      </c>
      <c r="J4" s="2"/>
    </row>
    <row r="5" spans="1:12" x14ac:dyDescent="0.35">
      <c r="A5" s="50" t="s">
        <v>63</v>
      </c>
      <c r="B5" s="51" t="s">
        <v>64</v>
      </c>
      <c r="C5" s="52">
        <v>43525</v>
      </c>
      <c r="D5" s="102">
        <v>6.5185618308715053E-3</v>
      </c>
      <c r="E5" s="102">
        <v>6.5185618308715053E-3</v>
      </c>
      <c r="F5" s="103" t="s">
        <v>202</v>
      </c>
      <c r="G5" s="102">
        <v>7.9988950004248535E-3</v>
      </c>
      <c r="H5" s="102">
        <v>7.9988950004248535E-3</v>
      </c>
      <c r="I5" s="103" t="s">
        <v>202</v>
      </c>
      <c r="J5" s="2"/>
    </row>
    <row r="6" spans="1:12" x14ac:dyDescent="0.35">
      <c r="A6" s="50" t="s">
        <v>65</v>
      </c>
      <c r="B6" s="51" t="s">
        <v>64</v>
      </c>
      <c r="C6" s="52">
        <v>44713</v>
      </c>
      <c r="D6" s="102">
        <v>7.6806145511353219E-3</v>
      </c>
      <c r="E6" s="103" t="s">
        <v>202</v>
      </c>
      <c r="F6" s="103" t="s">
        <v>202</v>
      </c>
      <c r="G6" s="102">
        <v>9.9955719653863941E-3</v>
      </c>
      <c r="H6" s="103" t="s">
        <v>202</v>
      </c>
      <c r="I6" s="103" t="s">
        <v>202</v>
      </c>
      <c r="J6" s="2"/>
    </row>
    <row r="7" spans="1:12" x14ac:dyDescent="0.35">
      <c r="A7" s="50" t="s">
        <v>66</v>
      </c>
      <c r="B7" s="51" t="s">
        <v>64</v>
      </c>
      <c r="C7" s="52">
        <v>44378</v>
      </c>
      <c r="D7" s="102">
        <v>0.13492669251705341</v>
      </c>
      <c r="E7" s="102">
        <v>0.13492669251705341</v>
      </c>
      <c r="F7" s="102">
        <v>0.13492669251705341</v>
      </c>
      <c r="G7" s="102">
        <v>0.15257306649435717</v>
      </c>
      <c r="H7" s="102">
        <v>0.15257306649435717</v>
      </c>
      <c r="I7" s="102">
        <v>0.15257306649435717</v>
      </c>
      <c r="J7" s="2"/>
    </row>
    <row r="8" spans="1:12" x14ac:dyDescent="0.35">
      <c r="A8" s="50" t="s">
        <v>66</v>
      </c>
      <c r="B8" s="51" t="s">
        <v>60</v>
      </c>
      <c r="C8" s="52">
        <v>44927</v>
      </c>
      <c r="D8" s="102">
        <v>8.5837210102829339E-2</v>
      </c>
      <c r="E8" s="102">
        <v>8.5837210102829339E-2</v>
      </c>
      <c r="F8" s="102">
        <v>8.5837210102829339E-2</v>
      </c>
      <c r="G8" s="102">
        <v>9.1536920139118808E-2</v>
      </c>
      <c r="H8" s="102">
        <v>9.1536920139118808E-2</v>
      </c>
      <c r="I8" s="102">
        <v>9.1536920139118808E-2</v>
      </c>
      <c r="J8" s="2"/>
    </row>
    <row r="9" spans="1:12" x14ac:dyDescent="0.35">
      <c r="A9" s="50" t="s">
        <v>66</v>
      </c>
      <c r="B9" s="51" t="s">
        <v>67</v>
      </c>
      <c r="C9" s="52">
        <v>45231</v>
      </c>
      <c r="D9" s="102">
        <v>2.6455818013019376E-2</v>
      </c>
      <c r="E9" s="102">
        <v>2.6455818013019376E-2</v>
      </c>
      <c r="F9" s="102">
        <v>2.6455818013019376E-2</v>
      </c>
      <c r="G9" s="102">
        <v>2.8212521093960774E-2</v>
      </c>
      <c r="H9" s="102">
        <v>2.8212521093960774E-2</v>
      </c>
      <c r="I9" s="102">
        <v>2.8212521093960774E-2</v>
      </c>
      <c r="J9" s="2"/>
    </row>
    <row r="10" spans="1:12" x14ac:dyDescent="0.35">
      <c r="A10" s="50" t="s">
        <v>68</v>
      </c>
      <c r="B10" s="51" t="s">
        <v>60</v>
      </c>
      <c r="C10" s="52">
        <v>44409</v>
      </c>
      <c r="D10" s="103" t="s">
        <v>202</v>
      </c>
      <c r="E10" s="102">
        <v>3.0591451138582944E-3</v>
      </c>
      <c r="F10" s="103" t="s">
        <v>202</v>
      </c>
      <c r="G10" s="103" t="s">
        <v>202</v>
      </c>
      <c r="H10" s="102">
        <v>6.7476830174821823E-3</v>
      </c>
      <c r="I10" s="103" t="s">
        <v>202</v>
      </c>
      <c r="J10" s="2"/>
    </row>
    <row r="11" spans="1:12" x14ac:dyDescent="0.35">
      <c r="A11" s="50" t="s">
        <v>69</v>
      </c>
      <c r="B11" s="51" t="s">
        <v>64</v>
      </c>
      <c r="C11" s="52">
        <v>43374</v>
      </c>
      <c r="D11" s="102">
        <v>4.8552959268154273E-3</v>
      </c>
      <c r="E11" s="102">
        <v>4.8552959268154273E-3</v>
      </c>
      <c r="F11" s="102">
        <v>4.8552959268154273E-3</v>
      </c>
      <c r="G11" s="102">
        <v>5.2879447068182907E-3</v>
      </c>
      <c r="H11" s="102">
        <v>5.2879447068182907E-3</v>
      </c>
      <c r="I11" s="102">
        <v>5.2879447068182907E-3</v>
      </c>
      <c r="J11" s="2"/>
    </row>
    <row r="12" spans="1:12" x14ac:dyDescent="0.35">
      <c r="A12" s="50" t="s">
        <v>70</v>
      </c>
      <c r="B12" s="51" t="s">
        <v>60</v>
      </c>
      <c r="C12" s="52">
        <v>44105</v>
      </c>
      <c r="D12" s="103" t="s">
        <v>202</v>
      </c>
      <c r="E12" s="103" t="s">
        <v>202</v>
      </c>
      <c r="F12" s="103" t="s">
        <v>202</v>
      </c>
      <c r="G12" s="103" t="s">
        <v>202</v>
      </c>
      <c r="H12" s="103" t="s">
        <v>202</v>
      </c>
      <c r="I12" s="103" t="s">
        <v>202</v>
      </c>
      <c r="J12" s="2"/>
    </row>
    <row r="13" spans="1:12" x14ac:dyDescent="0.35">
      <c r="A13" s="50" t="s">
        <v>71</v>
      </c>
      <c r="B13" s="51" t="s">
        <v>60</v>
      </c>
      <c r="C13" s="52">
        <v>43617</v>
      </c>
      <c r="D13" s="102">
        <v>1.9655141647369791E-2</v>
      </c>
      <c r="E13" s="102">
        <v>1.9655141647369791E-2</v>
      </c>
      <c r="F13" s="103" t="s">
        <v>202</v>
      </c>
      <c r="G13" s="102">
        <v>2.4810521925462872E-2</v>
      </c>
      <c r="H13" s="102">
        <v>2.4810521925462872E-2</v>
      </c>
      <c r="I13" s="103" t="s">
        <v>202</v>
      </c>
      <c r="J13" s="2"/>
    </row>
    <row r="14" spans="1:12" x14ac:dyDescent="0.35">
      <c r="A14" s="50" t="s">
        <v>72</v>
      </c>
      <c r="B14" s="51" t="s">
        <v>60</v>
      </c>
      <c r="C14" s="52">
        <v>44166</v>
      </c>
      <c r="D14" s="103" t="s">
        <v>202</v>
      </c>
      <c r="E14" s="102">
        <v>4.0769153900130336E-3</v>
      </c>
      <c r="F14" s="103" t="s">
        <v>202</v>
      </c>
      <c r="G14" s="103" t="s">
        <v>202</v>
      </c>
      <c r="H14" s="102">
        <v>6.6406662510517939E-3</v>
      </c>
      <c r="I14" s="103" t="s">
        <v>202</v>
      </c>
      <c r="J14" s="2"/>
    </row>
    <row r="15" spans="1:12" x14ac:dyDescent="0.35">
      <c r="A15" s="50" t="s">
        <v>73</v>
      </c>
      <c r="B15" s="51" t="s">
        <v>62</v>
      </c>
      <c r="C15" s="52">
        <v>43374</v>
      </c>
      <c r="D15" s="103" t="s">
        <v>202</v>
      </c>
      <c r="E15" s="103" t="s">
        <v>202</v>
      </c>
      <c r="F15" s="103" t="s">
        <v>202</v>
      </c>
      <c r="G15" s="103" t="s">
        <v>202</v>
      </c>
      <c r="H15" s="103" t="s">
        <v>202</v>
      </c>
      <c r="I15" s="103" t="s">
        <v>202</v>
      </c>
      <c r="J15" s="2"/>
    </row>
    <row r="16" spans="1:12" x14ac:dyDescent="0.35">
      <c r="A16" s="50" t="s">
        <v>74</v>
      </c>
      <c r="B16" s="51" t="s">
        <v>64</v>
      </c>
      <c r="C16" s="52">
        <v>44774</v>
      </c>
      <c r="D16" s="103" t="s">
        <v>202</v>
      </c>
      <c r="E16" s="102">
        <v>2.2755816363456542E-3</v>
      </c>
      <c r="F16" s="103" t="s">
        <v>202</v>
      </c>
      <c r="G16" s="103" t="s">
        <v>202</v>
      </c>
      <c r="H16" s="102">
        <v>4.4050961567315703E-3</v>
      </c>
      <c r="I16" s="103" t="s">
        <v>202</v>
      </c>
      <c r="J16" s="2"/>
    </row>
    <row r="17" spans="1:10" x14ac:dyDescent="0.35">
      <c r="A17" s="50" t="s">
        <v>75</v>
      </c>
      <c r="B17" s="51" t="s">
        <v>60</v>
      </c>
      <c r="C17" s="52">
        <v>44044</v>
      </c>
      <c r="D17" s="103" t="s">
        <v>202</v>
      </c>
      <c r="E17" s="102">
        <v>2.0635077485665006E-2</v>
      </c>
      <c r="F17" s="103" t="s">
        <v>202</v>
      </c>
      <c r="G17" s="103" t="s">
        <v>202</v>
      </c>
      <c r="H17" s="102">
        <v>2.126373682262318E-2</v>
      </c>
      <c r="I17" s="103" t="s">
        <v>202</v>
      </c>
      <c r="J17" s="2"/>
    </row>
    <row r="18" spans="1:10" x14ac:dyDescent="0.35">
      <c r="A18" s="50" t="s">
        <v>76</v>
      </c>
      <c r="B18" s="51" t="s">
        <v>60</v>
      </c>
      <c r="C18" s="52">
        <v>44440</v>
      </c>
      <c r="D18" s="102">
        <v>2.1757127065747554E-2</v>
      </c>
      <c r="E18" s="102">
        <v>2.1757127065747554E-2</v>
      </c>
      <c r="F18" s="102">
        <v>2.1757127065747554E-2</v>
      </c>
      <c r="G18" s="102">
        <v>2.2192649168466076E-2</v>
      </c>
      <c r="H18" s="102">
        <v>2.2192649168466076E-2</v>
      </c>
      <c r="I18" s="102">
        <v>2.2192649168466076E-2</v>
      </c>
      <c r="J18" s="2"/>
    </row>
    <row r="19" spans="1:10" x14ac:dyDescent="0.35">
      <c r="A19" s="50" t="s">
        <v>77</v>
      </c>
      <c r="B19" s="51" t="s">
        <v>60</v>
      </c>
      <c r="C19" s="52">
        <v>45170</v>
      </c>
      <c r="D19" s="103" t="s">
        <v>202</v>
      </c>
      <c r="E19" s="103" t="s">
        <v>202</v>
      </c>
      <c r="F19" s="103" t="s">
        <v>202</v>
      </c>
      <c r="G19" s="103" t="s">
        <v>202</v>
      </c>
      <c r="H19" s="103" t="s">
        <v>202</v>
      </c>
      <c r="I19" s="103" t="s">
        <v>202</v>
      </c>
      <c r="J19" s="2"/>
    </row>
    <row r="20" spans="1:10" x14ac:dyDescent="0.35">
      <c r="A20" s="50" t="s">
        <v>79</v>
      </c>
      <c r="B20" s="51" t="s">
        <v>60</v>
      </c>
      <c r="C20" s="52">
        <v>44470</v>
      </c>
      <c r="D20" s="103" t="s">
        <v>202</v>
      </c>
      <c r="E20" s="102">
        <v>1.2354152413012926E-2</v>
      </c>
      <c r="F20" s="103" t="s">
        <v>202</v>
      </c>
      <c r="G20" s="103" t="s">
        <v>202</v>
      </c>
      <c r="H20" s="102">
        <v>2.0653424791579913E-2</v>
      </c>
      <c r="I20" s="103" t="s">
        <v>202</v>
      </c>
      <c r="J20" s="2"/>
    </row>
    <row r="21" spans="1:10" x14ac:dyDescent="0.35">
      <c r="A21" s="50" t="s">
        <v>80</v>
      </c>
      <c r="B21" s="51" t="s">
        <v>64</v>
      </c>
      <c r="C21" s="52">
        <v>44743</v>
      </c>
      <c r="D21" s="103" t="s">
        <v>202</v>
      </c>
      <c r="E21" s="103" t="s">
        <v>202</v>
      </c>
      <c r="F21" s="103" t="s">
        <v>202</v>
      </c>
      <c r="G21" s="103" t="s">
        <v>202</v>
      </c>
      <c r="H21" s="103" t="s">
        <v>202</v>
      </c>
      <c r="I21" s="103" t="s">
        <v>202</v>
      </c>
      <c r="J21" s="2"/>
    </row>
    <row r="22" spans="1:10" x14ac:dyDescent="0.35">
      <c r="A22" s="50" t="s">
        <v>81</v>
      </c>
      <c r="B22" s="51" t="s">
        <v>60</v>
      </c>
      <c r="C22" s="52">
        <v>44287</v>
      </c>
      <c r="D22" s="103" t="s">
        <v>202</v>
      </c>
      <c r="E22" s="103" t="s">
        <v>202</v>
      </c>
      <c r="F22" s="103" t="s">
        <v>202</v>
      </c>
      <c r="G22" s="103" t="s">
        <v>202</v>
      </c>
      <c r="H22" s="103" t="s">
        <v>202</v>
      </c>
      <c r="I22" s="103" t="s">
        <v>202</v>
      </c>
      <c r="J22" s="2"/>
    </row>
    <row r="23" spans="1:10" x14ac:dyDescent="0.35">
      <c r="A23" s="50" t="s">
        <v>82</v>
      </c>
      <c r="B23" s="51" t="s">
        <v>64</v>
      </c>
      <c r="C23" s="52">
        <v>43252</v>
      </c>
      <c r="D23" s="103" t="s">
        <v>202</v>
      </c>
      <c r="E23" s="102">
        <v>2.5482807214083011E-2</v>
      </c>
      <c r="F23" s="103" t="s">
        <v>202</v>
      </c>
      <c r="G23" s="103" t="s">
        <v>202</v>
      </c>
      <c r="H23" s="102">
        <v>3.6028830046840259E-2</v>
      </c>
      <c r="I23" s="103" t="s">
        <v>202</v>
      </c>
      <c r="J23" s="2"/>
    </row>
    <row r="24" spans="1:10" x14ac:dyDescent="0.35">
      <c r="A24" s="50" t="s">
        <v>83</v>
      </c>
      <c r="B24" s="51" t="s">
        <v>62</v>
      </c>
      <c r="C24" s="52">
        <v>43282</v>
      </c>
      <c r="D24" s="103" t="s">
        <v>202</v>
      </c>
      <c r="E24" s="103" t="s">
        <v>202</v>
      </c>
      <c r="F24" s="103" t="s">
        <v>202</v>
      </c>
      <c r="G24" s="103" t="s">
        <v>202</v>
      </c>
      <c r="H24" s="103" t="s">
        <v>202</v>
      </c>
      <c r="I24" s="103" t="s">
        <v>202</v>
      </c>
      <c r="J24" s="2"/>
    </row>
    <row r="25" spans="1:10" x14ac:dyDescent="0.35">
      <c r="A25" s="50" t="s">
        <v>84</v>
      </c>
      <c r="B25" s="51" t="s">
        <v>64</v>
      </c>
      <c r="C25" s="52">
        <v>44105</v>
      </c>
      <c r="D25" s="102">
        <v>7.7214814215814621E-3</v>
      </c>
      <c r="E25" s="102">
        <v>7.7214814215814621E-3</v>
      </c>
      <c r="F25" s="102">
        <v>7.7214814215814621E-3</v>
      </c>
      <c r="G25" s="102">
        <v>8.3034022205129183E-3</v>
      </c>
      <c r="H25" s="102">
        <v>8.3034022205129183E-3</v>
      </c>
      <c r="I25" s="102">
        <v>8.3034022205129183E-3</v>
      </c>
      <c r="J25" s="2"/>
    </row>
    <row r="26" spans="1:10" x14ac:dyDescent="0.35">
      <c r="A26" s="50" t="s">
        <v>85</v>
      </c>
      <c r="B26" s="51" t="s">
        <v>19</v>
      </c>
      <c r="C26" s="52">
        <v>43191</v>
      </c>
      <c r="D26" s="102">
        <v>1.4403665611887776E-2</v>
      </c>
      <c r="E26" s="103" t="s">
        <v>202</v>
      </c>
      <c r="F26" s="103" t="s">
        <v>202</v>
      </c>
      <c r="G26" s="102">
        <v>1.724652444960446E-2</v>
      </c>
      <c r="H26" s="103" t="s">
        <v>202</v>
      </c>
      <c r="I26" s="103" t="s">
        <v>202</v>
      </c>
      <c r="J26" s="2"/>
    </row>
    <row r="27" spans="1:10" x14ac:dyDescent="0.35">
      <c r="A27" s="50" t="s">
        <v>85</v>
      </c>
      <c r="B27" s="51" t="s">
        <v>60</v>
      </c>
      <c r="C27" s="52">
        <v>44256</v>
      </c>
      <c r="D27" s="102">
        <v>1.0616043412141594E-2</v>
      </c>
      <c r="E27" s="103" t="s">
        <v>202</v>
      </c>
      <c r="F27" s="103" t="s">
        <v>202</v>
      </c>
      <c r="G27" s="102">
        <v>1.2737015209128252E-2</v>
      </c>
      <c r="H27" s="103" t="s">
        <v>202</v>
      </c>
      <c r="I27" s="103" t="s">
        <v>202</v>
      </c>
      <c r="J27" s="2"/>
    </row>
    <row r="28" spans="1:10" x14ac:dyDescent="0.35">
      <c r="A28" s="50" t="s">
        <v>86</v>
      </c>
      <c r="B28" s="51" t="s">
        <v>62</v>
      </c>
      <c r="C28" s="52">
        <v>44228</v>
      </c>
      <c r="D28" s="102">
        <v>0.13060576892249004</v>
      </c>
      <c r="E28" s="102">
        <v>0.13060576892249004</v>
      </c>
      <c r="F28" s="103" t="s">
        <v>202</v>
      </c>
      <c r="G28" s="102">
        <v>0.13899008465641477</v>
      </c>
      <c r="H28" s="102">
        <v>0.13899008465641477</v>
      </c>
      <c r="I28" s="103" t="s">
        <v>202</v>
      </c>
      <c r="J28" s="2"/>
    </row>
    <row r="29" spans="1:10" x14ac:dyDescent="0.35">
      <c r="A29" s="50" t="s">
        <v>86</v>
      </c>
      <c r="B29" s="51" t="s">
        <v>87</v>
      </c>
      <c r="C29" s="52">
        <v>44470</v>
      </c>
      <c r="D29" s="102">
        <v>0.10670690491311165</v>
      </c>
      <c r="E29" s="102">
        <v>0.10670690491311165</v>
      </c>
      <c r="F29" s="103" t="s">
        <v>202</v>
      </c>
      <c r="G29" s="102">
        <v>0.11355701872632587</v>
      </c>
      <c r="H29" s="102">
        <v>0.11355701872632587</v>
      </c>
      <c r="I29" s="103" t="s">
        <v>202</v>
      </c>
      <c r="J29" s="2"/>
    </row>
    <row r="30" spans="1:10" x14ac:dyDescent="0.35">
      <c r="A30" s="50" t="s">
        <v>88</v>
      </c>
      <c r="B30" s="51" t="s">
        <v>64</v>
      </c>
      <c r="C30" s="52">
        <v>45047</v>
      </c>
      <c r="D30" s="103" t="s">
        <v>202</v>
      </c>
      <c r="E30" s="102">
        <v>1.1051420490688723E-2</v>
      </c>
      <c r="F30" s="102">
        <v>1.1051420490688723E-2</v>
      </c>
      <c r="G30" s="103" t="s">
        <v>202</v>
      </c>
      <c r="H30" s="102">
        <v>1.5424927914741687E-2</v>
      </c>
      <c r="I30" s="102">
        <v>1.5424927914741687E-2</v>
      </c>
      <c r="J30" s="2"/>
    </row>
    <row r="31" spans="1:10" x14ac:dyDescent="0.35">
      <c r="A31" s="50"/>
      <c r="C31" s="52"/>
    </row>
    <row r="32" spans="1:10" x14ac:dyDescent="0.35">
      <c r="C32" s="52"/>
    </row>
    <row r="33" spans="3:3" x14ac:dyDescent="0.35">
      <c r="C33" s="52"/>
    </row>
    <row r="34" spans="3:3" x14ac:dyDescent="0.35">
      <c r="C34" s="52"/>
    </row>
    <row r="35" spans="3:3" x14ac:dyDescent="0.35">
      <c r="C35" s="52"/>
    </row>
    <row r="36" spans="3:3" x14ac:dyDescent="0.35">
      <c r="C36" s="52"/>
    </row>
    <row r="37" spans="3:3" x14ac:dyDescent="0.35">
      <c r="C37" s="52"/>
    </row>
    <row r="38" spans="3:3" x14ac:dyDescent="0.35">
      <c r="C38" s="52"/>
    </row>
    <row r="39" spans="3:3" x14ac:dyDescent="0.35">
      <c r="C39" s="52"/>
    </row>
    <row r="40" spans="3:3" x14ac:dyDescent="0.35">
      <c r="C40" s="52"/>
    </row>
    <row r="41" spans="3:3" x14ac:dyDescent="0.35">
      <c r="C41" s="52"/>
    </row>
    <row r="42" spans="3:3" x14ac:dyDescent="0.35">
      <c r="C42" s="52"/>
    </row>
    <row r="43" spans="3:3" x14ac:dyDescent="0.35">
      <c r="C43" s="52"/>
    </row>
    <row r="44" spans="3:3" x14ac:dyDescent="0.35">
      <c r="C44" s="52"/>
    </row>
    <row r="45" spans="3:3" x14ac:dyDescent="0.35">
      <c r="C45" s="52"/>
    </row>
    <row r="46" spans="3:3" x14ac:dyDescent="0.35">
      <c r="C46" s="52"/>
    </row>
    <row r="47" spans="3:3" x14ac:dyDescent="0.35">
      <c r="C47" s="52"/>
    </row>
    <row r="48" spans="3:3" x14ac:dyDescent="0.35">
      <c r="C48" s="52"/>
    </row>
    <row r="49" spans="3:3" x14ac:dyDescent="0.35">
      <c r="C49" s="52"/>
    </row>
    <row r="50" spans="3:3" x14ac:dyDescent="0.35">
      <c r="C50" s="52"/>
    </row>
    <row r="51" spans="3:3" x14ac:dyDescent="0.35">
      <c r="C51" s="52"/>
    </row>
    <row r="52" spans="3:3" x14ac:dyDescent="0.35">
      <c r="C52" s="52"/>
    </row>
    <row r="53" spans="3:3" x14ac:dyDescent="0.35">
      <c r="C53" s="52"/>
    </row>
    <row r="54" spans="3:3" x14ac:dyDescent="0.35">
      <c r="C54" s="52"/>
    </row>
    <row r="55" spans="3:3" x14ac:dyDescent="0.35">
      <c r="C55" s="52"/>
    </row>
    <row r="56" spans="3:3" x14ac:dyDescent="0.35">
      <c r="C56" s="52"/>
    </row>
    <row r="57" spans="3:3" x14ac:dyDescent="0.35">
      <c r="C57" s="52"/>
    </row>
    <row r="58" spans="3:3" x14ac:dyDescent="0.35">
      <c r="C58" s="52"/>
    </row>
    <row r="59" spans="3:3" x14ac:dyDescent="0.35">
      <c r="C59" s="5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18220-25F0-4EE6-A9E3-CBA9202EA285}">
  <sheetPr>
    <tabColor theme="9" tint="0.79998168889431442"/>
  </sheetPr>
  <dimension ref="A1:P32"/>
  <sheetViews>
    <sheetView tabSelected="1" workbookViewId="0">
      <pane xSplit="2" ySplit="1" topLeftCell="C2" activePane="bottomRight" state="frozen"/>
      <selection pane="topRight" activeCell="C1" sqref="C1"/>
      <selection pane="bottomLeft" activeCell="A2" sqref="A2"/>
      <selection pane="bottomRight" activeCell="B6" sqref="B6"/>
    </sheetView>
  </sheetViews>
  <sheetFormatPr defaultRowHeight="14.5" x14ac:dyDescent="0.35"/>
  <cols>
    <col min="1" max="1" width="15.54296875" customWidth="1"/>
    <col min="2" max="2" width="10.6328125" style="33" customWidth="1"/>
    <col min="3" max="8" width="20.6328125" customWidth="1"/>
  </cols>
  <sheetData>
    <row r="1" spans="1:16" s="42" customFormat="1" ht="40" customHeight="1" x14ac:dyDescent="0.35">
      <c r="A1" s="104" t="s">
        <v>179</v>
      </c>
      <c r="B1" s="105" t="s">
        <v>201</v>
      </c>
      <c r="C1" s="99" t="s">
        <v>119</v>
      </c>
      <c r="D1" s="99" t="s">
        <v>120</v>
      </c>
      <c r="E1" s="99" t="s">
        <v>121</v>
      </c>
      <c r="F1" s="99" t="s">
        <v>122</v>
      </c>
      <c r="G1" s="99" t="s">
        <v>123</v>
      </c>
      <c r="H1" s="99" t="s">
        <v>124</v>
      </c>
      <c r="I1" s="67"/>
      <c r="J1" s="54"/>
      <c r="K1" s="53"/>
    </row>
    <row r="2" spans="1:16" x14ac:dyDescent="0.35">
      <c r="A2" s="106" t="s">
        <v>125</v>
      </c>
      <c r="B2" s="107">
        <v>0</v>
      </c>
      <c r="C2" s="101" cm="1">
        <f t="array" ref="C2">_xlfn.PERCENTILE.INC(IF(ISNUMBER(S6A_cohort_data!D:D),S6A_cohort_data!D:D),$B2)</f>
        <v>4.8552959268154273E-3</v>
      </c>
      <c r="D2" s="101" cm="1">
        <f t="array" ref="D2">_xlfn.PERCENTILE.INC(IF(ISNUMBER(S6A_cohort_data!E:E),S6A_cohort_data!E:E),$B2)</f>
        <v>2.2755816363456542E-3</v>
      </c>
      <c r="E2" s="101" cm="1">
        <f t="array" ref="E2">_xlfn.PERCENTILE.INC(IF(ISNUMBER(S6A_cohort_data!F:F),S6A_cohort_data!F:F),$B2)</f>
        <v>4.8552959268154273E-3</v>
      </c>
      <c r="F2" s="101" cm="1">
        <f t="array" ref="F2">_xlfn.PERCENTILE.INC(IF(ISNUMBER(S6A_cohort_data!G:G),S6A_cohort_data!G:G),$B2)</f>
        <v>5.2879447068182907E-3</v>
      </c>
      <c r="G2" s="101" cm="1">
        <f t="array" ref="G2">_xlfn.PERCENTILE.INC(IF(ISNUMBER(S6A_cohort_data!H:H),S6A_cohort_data!H:H),$B2)</f>
        <v>4.4050961567315703E-3</v>
      </c>
      <c r="H2" s="101" cm="1">
        <f t="array" ref="H2">_xlfn.PERCENTILE.INC(IF(ISNUMBER(S6A_cohort_data!I:I),S6A_cohort_data!I:I),$B2)</f>
        <v>5.2879447068182907E-3</v>
      </c>
      <c r="I2" s="32"/>
      <c r="J2" s="31"/>
      <c r="K2" s="1"/>
    </row>
    <row r="3" spans="1:16" x14ac:dyDescent="0.35">
      <c r="A3" s="108" t="s">
        <v>20</v>
      </c>
      <c r="B3" s="109">
        <f>percentiles!$C$2</f>
        <v>0.39</v>
      </c>
      <c r="C3" s="101" cm="1">
        <f t="array" ref="C3">_xlfn.PERCENTILE.INC(IF(ISNUMBER(S6A_cohort_data!D:D),S6A_cohort_data!D:D),$B3)</f>
        <v>1.4046796859916357E-2</v>
      </c>
      <c r="D3" s="101" cm="1">
        <f t="array" ref="D3">_xlfn.PERCENTILE.INC(IF(ISNUMBER(S6A_cohort_data!E:E),S6A_cohort_data!E:E),$B3)</f>
        <v>1.2159681442594838E-2</v>
      </c>
      <c r="E3" s="101" cm="1">
        <f t="array" ref="E3">_xlfn.PERCENTILE.INC(IF(ISNUMBER(S6A_cohort_data!F:F),S6A_cohort_data!F:F),$B3)</f>
        <v>1.6988159696916291E-2</v>
      </c>
      <c r="F3" s="101" cm="1">
        <f t="array" ref="F3">_xlfn.PERCENTILE.INC(IF(ISNUMBER(S6A_cohort_data!G:G),S6A_cohort_data!G:G),$B3)</f>
        <v>1.6570098063533031E-2</v>
      </c>
      <c r="G3" s="101" cm="1">
        <f t="array" ref="G3">_xlfn.PERCENTILE.INC(IF(ISNUMBER(S6A_cohort_data!H:H),S6A_cohort_data!H:H),$B3)</f>
        <v>1.7568611634245359E-2</v>
      </c>
      <c r="H3" s="101" cm="1">
        <f t="array" ref="H3">_xlfn.PERCENTILE.INC(IF(ISNUMBER(S6A_cohort_data!I:I),S6A_cohort_data!I:I),$B3)</f>
        <v>1.8876465754141123E-2</v>
      </c>
      <c r="I3" s="52"/>
      <c r="J3" s="52"/>
      <c r="K3" s="1"/>
    </row>
    <row r="4" spans="1:16" x14ac:dyDescent="0.35">
      <c r="A4" s="110" t="s">
        <v>126</v>
      </c>
      <c r="B4" s="111">
        <v>0.5</v>
      </c>
      <c r="C4" s="101" cm="1">
        <f t="array" ref="C4">_xlfn.PERCENTILE.INC(IF(ISNUMBER(S6A_cohort_data!D:D),S6A_cohort_data!D:D),$B4)</f>
        <v>2.0706134356558673E-2</v>
      </c>
      <c r="D4" s="101" cm="1">
        <f t="array" ref="D4">_xlfn.PERCENTILE.INC(IF(ISNUMBER(S6A_cohort_data!E:E),S6A_cohort_data!E:E),$B4)</f>
        <v>2.0145109566517397E-2</v>
      </c>
      <c r="E4" s="101" cm="1">
        <f t="array" ref="E4">_xlfn.PERCENTILE.INC(IF(ISNUMBER(S6A_cohort_data!F:F),S6A_cohort_data!F:F),$B4)</f>
        <v>2.4106472539383465E-2</v>
      </c>
      <c r="F4" s="101" cm="1">
        <f t="array" ref="F4">_xlfn.PERCENTILE.INC(IF(ISNUMBER(S6A_cohort_data!G:G),S6A_cohort_data!G:G),$B4)</f>
        <v>2.3501585546964472E-2</v>
      </c>
      <c r="G4" s="101" cm="1">
        <f t="array" ref="G4">_xlfn.PERCENTILE.INC(IF(ISNUMBER(S6A_cohort_data!H:H),S6A_cohort_data!H:H),$B4)</f>
        <v>2.1728192995544626E-2</v>
      </c>
      <c r="H4" s="101" cm="1">
        <f t="array" ref="H4">_xlfn.PERCENTILE.INC(IF(ISNUMBER(S6A_cohort_data!I:I),S6A_cohort_data!I:I),$B4)</f>
        <v>2.5045050767169466E-2</v>
      </c>
      <c r="I4" s="52"/>
      <c r="J4" s="52"/>
      <c r="K4" s="1"/>
    </row>
    <row r="5" spans="1:16" x14ac:dyDescent="0.35">
      <c r="A5" s="108" t="s">
        <v>21</v>
      </c>
      <c r="B5" s="109">
        <f>percentiles!$C$3</f>
        <v>0.61</v>
      </c>
      <c r="C5" s="101" cm="1">
        <f t="array" ref="C5">_xlfn.PERCENTILE.INC(IF(ISNUMBER(S6A_cohort_data!D:D),S6A_cohort_data!D:D),$B5)</f>
        <v>2.6672063165947398E-2</v>
      </c>
      <c r="D5" s="101" cm="1">
        <f t="array" ref="D5">_xlfn.PERCENTILE.INC(IF(ISNUMBER(S6A_cohort_data!E:E),S6A_cohort_data!E:E),$B5)</f>
        <v>2.3955278353265472E-2</v>
      </c>
      <c r="E5" s="101" cm="1">
        <f t="array" ref="E5">_xlfn.PERCENTILE.INC(IF(ISNUMBER(S6A_cohort_data!F:F),S6A_cohort_data!F:F),$B5)</f>
        <v>2.7162218845917581E-2</v>
      </c>
      <c r="F5" s="101" cm="1">
        <f t="array" ref="F5">_xlfn.PERCENTILE.INC(IF(ISNUMBER(S6A_cohort_data!G:G),S6A_cohort_data!G:G),$B5)</f>
        <v>2.7944712675086039E-2</v>
      </c>
      <c r="G5" s="101" cm="1">
        <f t="array" ref="G5">_xlfn.PERCENTILE.INC(IF(ISNUMBER(S6A_cohort_data!H:H),S6A_cohort_data!H:H),$B5)</f>
        <v>2.6631810885304759E-2</v>
      </c>
      <c r="H5" s="101" cm="1">
        <f t="array" ref="H5">_xlfn.PERCENTILE.INC(IF(ISNUMBER(S6A_cohort_data!I:I),S6A_cohort_data!I:I),$B5)</f>
        <v>2.8051836042635933E-2</v>
      </c>
      <c r="I5" s="52"/>
      <c r="J5" s="52"/>
      <c r="K5" s="1"/>
    </row>
    <row r="6" spans="1:16" x14ac:dyDescent="0.35">
      <c r="A6" s="108" t="s">
        <v>127</v>
      </c>
      <c r="B6" s="109">
        <v>1</v>
      </c>
      <c r="C6" s="101" cm="1">
        <f t="array" ref="C6">_xlfn.PERCENTILE.INC(IF(ISNUMBER(S6A_cohort_data!D:D),S6A_cohort_data!D:D),$B6)</f>
        <v>0.13492669251705341</v>
      </c>
      <c r="D6" s="101" cm="1">
        <f t="array" ref="D6">_xlfn.PERCENTILE.INC(IF(ISNUMBER(S6A_cohort_data!E:E),S6A_cohort_data!E:E),$B6)</f>
        <v>0.13492669251705341</v>
      </c>
      <c r="E6" s="101" cm="1">
        <f t="array" ref="E6">_xlfn.PERCENTILE.INC(IF(ISNUMBER(S6A_cohort_data!F:F),S6A_cohort_data!F:F),$B6)</f>
        <v>0.13492669251705341</v>
      </c>
      <c r="F6" s="101" cm="1">
        <f t="array" ref="F6">_xlfn.PERCENTILE.INC(IF(ISNUMBER(S6A_cohort_data!G:G),S6A_cohort_data!G:G),$B6)</f>
        <v>0.15257306649435717</v>
      </c>
      <c r="G6" s="101" cm="1">
        <f t="array" ref="G6">_xlfn.PERCENTILE.INC(IF(ISNUMBER(S6A_cohort_data!H:H),S6A_cohort_data!H:H),$B6)</f>
        <v>0.15257306649435717</v>
      </c>
      <c r="H6" s="101" cm="1">
        <f t="array" ref="H6">_xlfn.PERCENTILE.INC(IF(ISNUMBER(S6A_cohort_data!I:I),S6A_cohort_data!I:I),$B6)</f>
        <v>0.15257306649435717</v>
      </c>
      <c r="I6" s="52"/>
      <c r="J6" s="52"/>
      <c r="K6" s="1"/>
    </row>
    <row r="7" spans="1:16" x14ac:dyDescent="0.35">
      <c r="I7" s="52"/>
      <c r="J7" s="52"/>
      <c r="K7" s="1"/>
    </row>
    <row r="8" spans="1:16" x14ac:dyDescent="0.35">
      <c r="I8" s="52"/>
      <c r="J8" s="52"/>
      <c r="K8" s="1"/>
    </row>
    <row r="9" spans="1:16" x14ac:dyDescent="0.35">
      <c r="I9" s="52"/>
      <c r="J9" s="52"/>
      <c r="K9" s="1"/>
    </row>
    <row r="10" spans="1:16" x14ac:dyDescent="0.35">
      <c r="I10" s="52"/>
      <c r="J10" s="52"/>
      <c r="K10" s="1"/>
    </row>
    <row r="11" spans="1:16" x14ac:dyDescent="0.35">
      <c r="I11" s="52"/>
      <c r="J11" s="52"/>
      <c r="K11" s="1"/>
    </row>
    <row r="12" spans="1:16" x14ac:dyDescent="0.35">
      <c r="I12" s="52"/>
      <c r="J12" s="52"/>
      <c r="K12" s="1"/>
    </row>
    <row r="13" spans="1:16" x14ac:dyDescent="0.35">
      <c r="I13" s="52"/>
      <c r="J13" s="52"/>
      <c r="K13" s="1"/>
    </row>
    <row r="14" spans="1:16" x14ac:dyDescent="0.35">
      <c r="I14" s="52"/>
      <c r="J14" s="52"/>
      <c r="K14" s="1"/>
    </row>
    <row r="15" spans="1:16" x14ac:dyDescent="0.35">
      <c r="I15" s="52"/>
      <c r="J15" s="52"/>
      <c r="K15" s="52"/>
      <c r="L15" s="52"/>
      <c r="M15" s="52"/>
      <c r="N15" s="52"/>
      <c r="O15" s="52"/>
      <c r="P15" s="52"/>
    </row>
    <row r="16" spans="1:16" x14ac:dyDescent="0.35">
      <c r="I16" s="52"/>
      <c r="J16" s="52"/>
      <c r="K16" s="52"/>
      <c r="L16" s="52"/>
      <c r="M16" s="52"/>
      <c r="N16" s="52"/>
      <c r="O16" s="52"/>
      <c r="P16" s="52"/>
    </row>
    <row r="17" spans="9:16" x14ac:dyDescent="0.35">
      <c r="I17" s="52"/>
      <c r="J17" s="52"/>
      <c r="K17" s="52"/>
      <c r="L17" s="52"/>
      <c r="M17" s="52"/>
      <c r="N17" s="52"/>
      <c r="O17" s="52"/>
      <c r="P17" s="52"/>
    </row>
    <row r="18" spans="9:16" x14ac:dyDescent="0.35">
      <c r="I18" s="52"/>
      <c r="J18" s="52"/>
      <c r="K18" s="52"/>
      <c r="L18" s="52"/>
      <c r="M18" s="52"/>
      <c r="N18" s="52"/>
      <c r="O18" s="52"/>
      <c r="P18" s="52"/>
    </row>
    <row r="19" spans="9:16" x14ac:dyDescent="0.35">
      <c r="I19" s="52"/>
      <c r="J19" s="52"/>
      <c r="K19" s="52"/>
      <c r="L19" s="52"/>
      <c r="M19" s="52"/>
      <c r="N19" s="52"/>
      <c r="O19" s="52"/>
      <c r="P19" s="52"/>
    </row>
    <row r="20" spans="9:16" x14ac:dyDescent="0.35">
      <c r="I20" s="52"/>
      <c r="J20" s="52"/>
      <c r="K20" s="52"/>
      <c r="L20" s="52"/>
      <c r="M20" s="52"/>
      <c r="N20" s="52"/>
      <c r="O20" s="52"/>
      <c r="P20" s="52"/>
    </row>
    <row r="21" spans="9:16" x14ac:dyDescent="0.35">
      <c r="I21" s="52"/>
      <c r="J21" s="52"/>
      <c r="K21" s="52"/>
      <c r="L21" s="52"/>
      <c r="M21" s="52"/>
      <c r="N21" s="52"/>
      <c r="O21" s="52"/>
      <c r="P21" s="52"/>
    </row>
    <row r="22" spans="9:16" x14ac:dyDescent="0.35">
      <c r="I22" s="52"/>
      <c r="J22" s="52"/>
      <c r="K22" s="52"/>
      <c r="L22" s="52"/>
      <c r="M22" s="52"/>
      <c r="N22" s="52"/>
      <c r="O22" s="52"/>
      <c r="P22" s="52"/>
    </row>
    <row r="23" spans="9:16" x14ac:dyDescent="0.35">
      <c r="I23" s="52"/>
      <c r="J23" s="52"/>
      <c r="K23" s="52"/>
      <c r="L23" s="52"/>
      <c r="M23" s="52"/>
      <c r="N23" s="52"/>
      <c r="O23" s="52"/>
      <c r="P23" s="52"/>
    </row>
    <row r="24" spans="9:16" x14ac:dyDescent="0.35">
      <c r="I24" s="52"/>
      <c r="J24" s="52"/>
      <c r="K24" s="52"/>
      <c r="L24" s="52"/>
      <c r="M24" s="52"/>
      <c r="N24" s="52"/>
      <c r="O24" s="52"/>
      <c r="P24" s="52"/>
    </row>
    <row r="25" spans="9:16" x14ac:dyDescent="0.35">
      <c r="I25" s="52"/>
      <c r="J25" s="52"/>
      <c r="K25" s="52"/>
      <c r="L25" s="52"/>
      <c r="M25" s="52"/>
      <c r="N25" s="52"/>
      <c r="O25" s="52"/>
      <c r="P25" s="52"/>
    </row>
    <row r="26" spans="9:16" x14ac:dyDescent="0.35">
      <c r="I26" s="52"/>
      <c r="J26" s="52"/>
      <c r="K26" s="52"/>
      <c r="L26" s="52"/>
      <c r="M26" s="52"/>
      <c r="N26" s="52"/>
      <c r="O26" s="52"/>
      <c r="P26" s="52"/>
    </row>
    <row r="27" spans="9:16" x14ac:dyDescent="0.35">
      <c r="I27" s="52"/>
      <c r="J27" s="52"/>
      <c r="K27" s="52"/>
      <c r="L27" s="52"/>
      <c r="M27" s="52"/>
      <c r="N27" s="52"/>
      <c r="O27" s="52"/>
      <c r="P27" s="52"/>
    </row>
    <row r="28" spans="9:16" x14ac:dyDescent="0.35">
      <c r="I28" s="52"/>
      <c r="J28" s="52"/>
      <c r="K28" s="52"/>
      <c r="L28" s="52"/>
      <c r="M28" s="52"/>
      <c r="N28" s="52"/>
      <c r="O28" s="52"/>
      <c r="P28" s="52"/>
    </row>
    <row r="29" spans="9:16" x14ac:dyDescent="0.35">
      <c r="I29" s="52"/>
      <c r="J29" s="52"/>
      <c r="K29" s="52"/>
      <c r="L29" s="52"/>
      <c r="M29" s="52"/>
      <c r="N29" s="52"/>
      <c r="O29" s="52"/>
      <c r="P29" s="52"/>
    </row>
    <row r="30" spans="9:16" x14ac:dyDescent="0.35">
      <c r="I30" s="52"/>
      <c r="J30" s="52"/>
      <c r="K30" s="52"/>
      <c r="L30" s="52"/>
      <c r="M30" s="52"/>
      <c r="N30" s="52"/>
      <c r="O30" s="52"/>
      <c r="P30" s="52"/>
    </row>
    <row r="31" spans="9:16" x14ac:dyDescent="0.35">
      <c r="I31" s="52"/>
      <c r="J31" s="52"/>
      <c r="K31" s="52"/>
      <c r="L31" s="52"/>
      <c r="M31" s="52"/>
      <c r="N31" s="52"/>
      <c r="O31" s="52"/>
      <c r="P31" s="52"/>
    </row>
    <row r="32" spans="9:16" x14ac:dyDescent="0.35">
      <c r="I32" s="52"/>
      <c r="J32" s="52"/>
      <c r="K32" s="52"/>
      <c r="L32" s="52"/>
      <c r="M32" s="52"/>
      <c r="N32" s="52"/>
      <c r="O32" s="52"/>
      <c r="P32" s="52"/>
    </row>
  </sheetData>
  <sheetProtection algorithmName="SHA-512" hashValue="J+ru/EEV0K25fpsvWH7KBaGJx9W7inVufAlS2TvRqtiEWnyTdj7nQwwpF5xcOMDvv29Znq3Y2o9i3hrhFsWXzw==" saltValue="osFKTphNbS2N6UeCZ755VQ=="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C30A7-8327-4C37-80D9-E91A7924DC7C}">
  <sheetPr>
    <tabColor theme="9" tint="0.79998168889431442"/>
  </sheetPr>
  <dimension ref="A1:O38"/>
  <sheetViews>
    <sheetView workbookViewId="0">
      <pane xSplit="3" ySplit="1" topLeftCell="G2" activePane="bottomRight" state="frozen"/>
      <selection pane="topRight" activeCell="D1" sqref="D1"/>
      <selection pane="bottomLeft" activeCell="A2" sqref="A2"/>
      <selection pane="bottomRight" activeCell="K6" sqref="K6"/>
    </sheetView>
  </sheetViews>
  <sheetFormatPr defaultColWidth="9.1796875" defaultRowHeight="14.5" x14ac:dyDescent="0.35"/>
  <cols>
    <col min="1" max="1" width="20.6328125" customWidth="1"/>
    <col min="2" max="2" width="20.6328125" style="33" customWidth="1"/>
    <col min="3" max="3" width="17.6328125" customWidth="1"/>
    <col min="4" max="4" width="13.90625" customWidth="1"/>
    <col min="5" max="5" width="11.6328125" customWidth="1"/>
    <col min="6" max="7" width="18" customWidth="1"/>
    <col min="8" max="8" width="15.1796875" customWidth="1"/>
    <col min="9" max="10" width="16.36328125" customWidth="1"/>
    <col min="11" max="11" width="21.54296875" customWidth="1"/>
    <col min="12" max="12" width="15.453125" customWidth="1"/>
    <col min="13" max="14" width="16.36328125" customWidth="1"/>
    <col min="15" max="15" width="21.08984375" customWidth="1"/>
  </cols>
  <sheetData>
    <row r="1" spans="1:15" ht="40" customHeight="1" x14ac:dyDescent="0.35">
      <c r="A1" s="104" t="s">
        <v>48</v>
      </c>
      <c r="B1" s="99" t="s">
        <v>32</v>
      </c>
      <c r="C1" s="105" t="s">
        <v>49</v>
      </c>
      <c r="D1" s="99" t="s">
        <v>118</v>
      </c>
      <c r="E1" s="105" t="s">
        <v>128</v>
      </c>
      <c r="F1" s="99" t="s">
        <v>129</v>
      </c>
      <c r="G1" s="99" t="s">
        <v>130</v>
      </c>
      <c r="H1" s="99" t="s">
        <v>131</v>
      </c>
      <c r="I1" s="99" t="s">
        <v>133</v>
      </c>
      <c r="J1" s="99" t="s">
        <v>134</v>
      </c>
      <c r="K1" s="99" t="s">
        <v>137</v>
      </c>
      <c r="L1" s="99" t="s">
        <v>132</v>
      </c>
      <c r="M1" s="99" t="s">
        <v>135</v>
      </c>
      <c r="N1" s="99" t="s">
        <v>136</v>
      </c>
      <c r="O1" s="99" t="s">
        <v>138</v>
      </c>
    </row>
    <row r="2" spans="1:15" x14ac:dyDescent="0.35">
      <c r="A2" s="98" t="s">
        <v>59</v>
      </c>
      <c r="B2" s="111" t="s">
        <v>60</v>
      </c>
      <c r="C2" s="112">
        <v>43435</v>
      </c>
      <c r="D2" s="101">
        <v>1</v>
      </c>
      <c r="E2" s="101">
        <f t="shared" ref="E2:E30" si="0">D2/SUM($D:$D)</f>
        <v>5.7712324535798151E-2</v>
      </c>
      <c r="F2" s="101">
        <v>3.0799556038409257E-2</v>
      </c>
      <c r="G2" s="101">
        <v>3.0799556038409257E-2</v>
      </c>
      <c r="H2" s="98">
        <v>24</v>
      </c>
      <c r="I2" s="101">
        <f>SUMIFS($E:$E,$H:$H,"&lt;"&amp;H2)</f>
        <v>0.74278621273790602</v>
      </c>
      <c r="J2" s="101">
        <f>I2+E2</f>
        <v>0.80049853727370412</v>
      </c>
      <c r="K2" s="111" t="str">
        <f>IF(AND(percentiles!$C$2&gt;S6B_num_weighting!I2,percentiles!$C$2&lt;S6B_num_weighting!J2),"lower",IF(AND(percentiles!$C$3&gt;S6B_num_weighting!I2,percentiles!$C$3&lt;S6B_num_weighting!J2),"upper","n/a"))</f>
        <v>n/a</v>
      </c>
      <c r="L2" s="98">
        <v>23</v>
      </c>
      <c r="M2" s="101">
        <f>SUMIFS($E:$E,$L:$L,"&lt;"&amp;L2)</f>
        <v>0.71322242730295138</v>
      </c>
      <c r="N2" s="101">
        <f>M2+E2</f>
        <v>0.77093475183874949</v>
      </c>
      <c r="O2" s="111" t="str">
        <f>IF(AND(percentiles!$C$2&gt;S6B_num_weighting!M2,percentiles!$C$2&lt;S6B_num_weighting!N2),"lower",IF(AND(percentiles!$C$3&gt;S6B_num_weighting!M2,percentiles!$C$3&lt;S6B_num_weighting!N2),"upper","n/a"))</f>
        <v>n/a</v>
      </c>
    </row>
    <row r="3" spans="1:15" x14ac:dyDescent="0.35">
      <c r="A3" s="98" t="s">
        <v>59</v>
      </c>
      <c r="B3" s="111" t="s">
        <v>19</v>
      </c>
      <c r="C3" s="112">
        <v>45231</v>
      </c>
      <c r="D3" s="101">
        <v>1</v>
      </c>
      <c r="E3" s="101">
        <f t="shared" si="0"/>
        <v>5.7712324535798151E-2</v>
      </c>
      <c r="F3" s="101">
        <v>1.2024540598744979E-2</v>
      </c>
      <c r="G3" s="101">
        <v>1.2024540598744979E-2</v>
      </c>
      <c r="H3" s="98">
        <v>14</v>
      </c>
      <c r="I3" s="101">
        <f t="shared" ref="I3:I30" si="1">SUMIFS($E:$E,$H:$H,"&lt;"&amp;H3)</f>
        <v>0.36438953544134661</v>
      </c>
      <c r="J3" s="101">
        <f t="shared" ref="J3:J30" si="2">I3+E3</f>
        <v>0.42210185997714478</v>
      </c>
      <c r="K3" s="111" t="str">
        <f>IF(AND(percentiles!$C$2&gt;S6B_num_weighting!I3,percentiles!$C$2&lt;S6B_num_weighting!J3),"lower",IF(AND(percentiles!$C$3&gt;S6B_num_weighting!I3,percentiles!$C$3&lt;S6B_num_weighting!J3),"upper","n/a"))</f>
        <v>lower</v>
      </c>
      <c r="L3" s="98">
        <v>10</v>
      </c>
      <c r="M3" s="101">
        <f t="shared" ref="M3:M30" si="3">SUMIFS($E:$E,$L:$L,"&lt;"&amp;L3)</f>
        <v>0.26298347721633586</v>
      </c>
      <c r="N3" s="101">
        <f t="shared" ref="N3:N30" si="4">M3+E3</f>
        <v>0.32069580175213402</v>
      </c>
      <c r="O3" s="111" t="str">
        <f>IF(AND(percentiles!$C$2&gt;S6B_num_weighting!M3,percentiles!$C$2&lt;S6B_num_weighting!N3),"lower",IF(AND(percentiles!$C$3&gt;S6B_num_weighting!M3,percentiles!$C$3&lt;S6B_num_weighting!N3),"upper","n/a"))</f>
        <v>n/a</v>
      </c>
    </row>
    <row r="4" spans="1:15" x14ac:dyDescent="0.35">
      <c r="A4" s="98" t="s">
        <v>59</v>
      </c>
      <c r="B4" s="111" t="s">
        <v>62</v>
      </c>
      <c r="C4" s="112">
        <v>45231</v>
      </c>
      <c r="D4" s="101">
        <v>1</v>
      </c>
      <c r="E4" s="101">
        <f t="shared" si="0"/>
        <v>5.7712324535798151E-2</v>
      </c>
      <c r="F4" s="101">
        <v>2.7897452365872853E-2</v>
      </c>
      <c r="G4" s="101">
        <v>2.7897452365872853E-2</v>
      </c>
      <c r="H4" s="98">
        <v>23</v>
      </c>
      <c r="I4" s="101">
        <f t="shared" si="1"/>
        <v>0.68507388820210791</v>
      </c>
      <c r="J4" s="101">
        <f t="shared" si="2"/>
        <v>0.74278621273790602</v>
      </c>
      <c r="K4" s="111" t="str">
        <f>IF(AND(percentiles!$C$2&gt;S6B_num_weighting!I4,percentiles!$C$2&lt;S6B_num_weighting!J4),"lower",IF(AND(percentiles!$C$3&gt;S6B_num_weighting!I4,percentiles!$C$3&lt;S6B_num_weighting!J4),"upper","n/a"))</f>
        <v>n/a</v>
      </c>
      <c r="L4" s="98">
        <v>20</v>
      </c>
      <c r="M4" s="101">
        <f t="shared" si="3"/>
        <v>0.58100347079119607</v>
      </c>
      <c r="N4" s="101">
        <f t="shared" si="4"/>
        <v>0.63871579532699418</v>
      </c>
      <c r="O4" s="111" t="str">
        <f>IF(AND(percentiles!$C$2&gt;S6B_num_weighting!M4,percentiles!$C$2&lt;S6B_num_weighting!N4),"lower",IF(AND(percentiles!$C$3&gt;S6B_num_weighting!M4,percentiles!$C$3&lt;S6B_num_weighting!N4),"upper","n/a"))</f>
        <v>upper</v>
      </c>
    </row>
    <row r="5" spans="1:15" x14ac:dyDescent="0.35">
      <c r="A5" s="98" t="s">
        <v>63</v>
      </c>
      <c r="B5" s="111" t="s">
        <v>64</v>
      </c>
      <c r="C5" s="112">
        <v>43525</v>
      </c>
      <c r="D5" s="101">
        <v>0.60686929141709645</v>
      </c>
      <c r="E5" s="101">
        <f t="shared" si="0"/>
        <v>3.5023837497073336E-2</v>
      </c>
      <c r="F5" s="101">
        <v>6.5185618308715053E-3</v>
      </c>
      <c r="G5" s="101">
        <v>7.9988950004248535E-3</v>
      </c>
      <c r="H5" s="98">
        <v>7</v>
      </c>
      <c r="I5" s="101">
        <f t="shared" si="1"/>
        <v>0.16042896222982805</v>
      </c>
      <c r="J5" s="101">
        <f t="shared" si="2"/>
        <v>0.19545279972690138</v>
      </c>
      <c r="K5" s="111" t="str">
        <f>IF(AND(percentiles!$C$2&gt;S6B_num_weighting!I5,percentiles!$C$2&lt;S6B_num_weighting!J5),"lower",IF(AND(percentiles!$C$3&gt;S6B_num_weighting!I5,percentiles!$C$3&lt;S6B_num_weighting!J5),"upper","n/a"))</f>
        <v>n/a</v>
      </c>
      <c r="L5" s="98">
        <v>6</v>
      </c>
      <c r="M5" s="101">
        <f t="shared" si="3"/>
        <v>0.13614886142240945</v>
      </c>
      <c r="N5" s="101">
        <f t="shared" si="4"/>
        <v>0.17117269891948278</v>
      </c>
      <c r="O5" s="111" t="str">
        <f>IF(AND(percentiles!$C$2&gt;S6B_num_weighting!M5,percentiles!$C$2&lt;S6B_num_weighting!N5),"lower",IF(AND(percentiles!$C$3&gt;S6B_num_weighting!M5,percentiles!$C$3&lt;S6B_num_weighting!N5),"upper","n/a"))</f>
        <v>n/a</v>
      </c>
    </row>
    <row r="6" spans="1:15" x14ac:dyDescent="0.35">
      <c r="A6" s="98" t="s">
        <v>65</v>
      </c>
      <c r="B6" s="111" t="s">
        <v>64</v>
      </c>
      <c r="C6" s="112">
        <v>44713</v>
      </c>
      <c r="D6" s="101">
        <v>0.49653011175009393</v>
      </c>
      <c r="E6" s="101">
        <f t="shared" si="0"/>
        <v>2.8655906951117544E-2</v>
      </c>
      <c r="F6" s="101">
        <v>7.6806145511353219E-3</v>
      </c>
      <c r="G6" s="101">
        <v>9.9955719653863941E-3</v>
      </c>
      <c r="H6" s="98">
        <v>9</v>
      </c>
      <c r="I6" s="101">
        <f t="shared" si="1"/>
        <v>0.21586975227447824</v>
      </c>
      <c r="J6" s="101">
        <f t="shared" si="2"/>
        <v>0.2445256592255958</v>
      </c>
      <c r="K6" s="111" t="str">
        <f>IF(AND(percentiles!$C$2&gt;S6B_num_weighting!I6,percentiles!$C$2&lt;S6B_num_weighting!J6),"lower",IF(AND(percentiles!$C$3&gt;S6B_num_weighting!I6,percentiles!$C$3&lt;S6B_num_weighting!J6),"upper","n/a"))</f>
        <v>n/a</v>
      </c>
      <c r="L6" s="98">
        <v>9</v>
      </c>
      <c r="M6" s="101">
        <f t="shared" si="3"/>
        <v>0.23432757026521833</v>
      </c>
      <c r="N6" s="101">
        <f t="shared" si="4"/>
        <v>0.26298347721633586</v>
      </c>
      <c r="O6" s="111" t="str">
        <f>IF(AND(percentiles!$C$2&gt;S6B_num_weighting!M6,percentiles!$C$2&lt;S6B_num_weighting!N6),"lower",IF(AND(percentiles!$C$3&gt;S6B_num_weighting!M6,percentiles!$C$3&lt;S6B_num_weighting!N6),"upper","n/a"))</f>
        <v>n/a</v>
      </c>
    </row>
    <row r="7" spans="1:15" x14ac:dyDescent="0.35">
      <c r="A7" s="98" t="s">
        <v>66</v>
      </c>
      <c r="B7" s="111" t="s">
        <v>64</v>
      </c>
      <c r="C7" s="112">
        <v>44378</v>
      </c>
      <c r="D7" s="101">
        <v>0.83860281434630901</v>
      </c>
      <c r="E7" s="101">
        <f t="shared" si="0"/>
        <v>4.8397717778187868E-2</v>
      </c>
      <c r="F7" s="101">
        <v>0.13492669251705341</v>
      </c>
      <c r="G7" s="101">
        <v>0.15257306649435717</v>
      </c>
      <c r="H7" s="98">
        <v>29</v>
      </c>
      <c r="I7" s="101">
        <f t="shared" si="1"/>
        <v>0.95160228222181253</v>
      </c>
      <c r="J7" s="101">
        <f t="shared" si="2"/>
        <v>1.0000000000000004</v>
      </c>
      <c r="K7" s="111" t="str">
        <f>IF(AND(percentiles!$C$2&gt;S6B_num_weighting!I7,percentiles!$C$2&lt;S6B_num_weighting!J7),"lower",IF(AND(percentiles!$C$3&gt;S6B_num_weighting!I7,percentiles!$C$3&lt;S6B_num_weighting!J7),"upper","n/a"))</f>
        <v>n/a</v>
      </c>
      <c r="L7" s="98">
        <v>29</v>
      </c>
      <c r="M7" s="101">
        <f t="shared" si="3"/>
        <v>0.95160228222181253</v>
      </c>
      <c r="N7" s="101">
        <f t="shared" si="4"/>
        <v>1.0000000000000004</v>
      </c>
      <c r="O7" s="111" t="str">
        <f>IF(AND(percentiles!$C$2&gt;S6B_num_weighting!M7,percentiles!$C$2&lt;S6B_num_weighting!N7),"lower",IF(AND(percentiles!$C$3&gt;S6B_num_weighting!M7,percentiles!$C$3&lt;S6B_num_weighting!N7),"upper","n/a"))</f>
        <v>n/a</v>
      </c>
    </row>
    <row r="8" spans="1:15" x14ac:dyDescent="0.35">
      <c r="A8" s="98" t="s">
        <v>66</v>
      </c>
      <c r="B8" s="111" t="s">
        <v>60</v>
      </c>
      <c r="C8" s="112">
        <v>44927</v>
      </c>
      <c r="D8" s="101">
        <v>0.82724084111635776</v>
      </c>
      <c r="E8" s="101">
        <f t="shared" si="0"/>
        <v>4.7741991891773874E-2</v>
      </c>
      <c r="F8" s="101">
        <v>8.5837210102829339E-2</v>
      </c>
      <c r="G8" s="101">
        <v>9.1536920139118808E-2</v>
      </c>
      <c r="H8" s="98">
        <v>26</v>
      </c>
      <c r="I8" s="101">
        <f t="shared" si="1"/>
        <v>0.82564305712844732</v>
      </c>
      <c r="J8" s="101">
        <f t="shared" si="2"/>
        <v>0.87338504902022118</v>
      </c>
      <c r="K8" s="111" t="str">
        <f>IF(AND(percentiles!$C$2&gt;S6B_num_weighting!I8,percentiles!$C$2&lt;S6B_num_weighting!J8),"lower",IF(AND(percentiles!$C$3&gt;S6B_num_weighting!I8,percentiles!$C$3&lt;S6B_num_weighting!J8),"upper","n/a"))</f>
        <v>n/a</v>
      </c>
      <c r="L8" s="98">
        <v>26</v>
      </c>
      <c r="M8" s="101">
        <f t="shared" si="3"/>
        <v>0.82564305712844732</v>
      </c>
      <c r="N8" s="101">
        <f t="shared" si="4"/>
        <v>0.87338504902022118</v>
      </c>
      <c r="O8" s="111" t="str">
        <f>IF(AND(percentiles!$C$2&gt;S6B_num_weighting!M8,percentiles!$C$2&lt;S6B_num_weighting!N8),"lower",IF(AND(percentiles!$C$3&gt;S6B_num_weighting!M8,percentiles!$C$3&lt;S6B_num_weighting!N8),"upper","n/a"))</f>
        <v>n/a</v>
      </c>
    </row>
    <row r="9" spans="1:15" x14ac:dyDescent="0.35">
      <c r="A9" s="98" t="s">
        <v>66</v>
      </c>
      <c r="B9" s="111" t="s">
        <v>67</v>
      </c>
      <c r="C9" s="112">
        <v>45231</v>
      </c>
      <c r="D9" s="101">
        <v>0.82724084111635776</v>
      </c>
      <c r="E9" s="101">
        <f t="shared" si="0"/>
        <v>4.7741991891773874E-2</v>
      </c>
      <c r="F9" s="101">
        <v>2.6455818013019376E-2</v>
      </c>
      <c r="G9" s="101">
        <v>2.8212521093960774E-2</v>
      </c>
      <c r="H9" s="98">
        <v>22</v>
      </c>
      <c r="I9" s="101">
        <f t="shared" si="1"/>
        <v>0.63733189631033393</v>
      </c>
      <c r="J9" s="101">
        <f t="shared" si="2"/>
        <v>0.68507388820210779</v>
      </c>
      <c r="K9" s="111" t="str">
        <f>IF(AND(percentiles!$C$2&gt;S6B_num_weighting!I9,percentiles!$C$2&lt;S6B_num_weighting!J9),"lower",IF(AND(percentiles!$C$3&gt;S6B_num_weighting!I9,percentiles!$C$3&lt;S6B_num_weighting!J9),"upper","n/a"))</f>
        <v>n/a</v>
      </c>
      <c r="L9" s="98">
        <v>21</v>
      </c>
      <c r="M9" s="101">
        <f t="shared" si="3"/>
        <v>0.63871579532699418</v>
      </c>
      <c r="N9" s="101">
        <f t="shared" si="4"/>
        <v>0.68645778721876805</v>
      </c>
      <c r="O9" s="111" t="str">
        <f>IF(AND(percentiles!$C$2&gt;S6B_num_weighting!M9,percentiles!$C$2&lt;S6B_num_weighting!N9),"lower",IF(AND(percentiles!$C$3&gt;S6B_num_weighting!M9,percentiles!$C$3&lt;S6B_num_weighting!N9),"upper","n/a"))</f>
        <v>n/a</v>
      </c>
    </row>
    <row r="10" spans="1:15" x14ac:dyDescent="0.35">
      <c r="A10" s="98" t="s">
        <v>68</v>
      </c>
      <c r="B10" s="111" t="s">
        <v>60</v>
      </c>
      <c r="C10" s="112">
        <v>44409</v>
      </c>
      <c r="D10" s="101">
        <v>0.43595979938631269</v>
      </c>
      <c r="E10" s="101">
        <f t="shared" si="0"/>
        <v>2.5160253426744335E-2</v>
      </c>
      <c r="F10" s="101">
        <v>3.0591451138582944E-3</v>
      </c>
      <c r="G10" s="101">
        <v>6.7476830174821823E-3</v>
      </c>
      <c r="H10" s="98">
        <v>2</v>
      </c>
      <c r="I10" s="101">
        <f t="shared" si="1"/>
        <v>2.6630471104187033E-2</v>
      </c>
      <c r="J10" s="101">
        <f t="shared" si="2"/>
        <v>5.1790724530931365E-2</v>
      </c>
      <c r="K10" s="111" t="str">
        <f>IF(AND(percentiles!$C$2&gt;S6B_num_weighting!I10,percentiles!$C$2&lt;S6B_num_weighting!J10),"lower",IF(AND(percentiles!$C$3&gt;S6B_num_weighting!I10,percentiles!$C$3&lt;S6B_num_weighting!J10),"upper","n/a"))</f>
        <v>n/a</v>
      </c>
      <c r="L10" s="98">
        <v>4</v>
      </c>
      <c r="M10" s="101">
        <f t="shared" si="3"/>
        <v>9.000631559370284E-2</v>
      </c>
      <c r="N10" s="101">
        <f t="shared" si="4"/>
        <v>0.11516656902044717</v>
      </c>
      <c r="O10" s="111" t="str">
        <f>IF(AND(percentiles!$C$2&gt;S6B_num_weighting!M10,percentiles!$C$2&lt;S6B_num_weighting!N10),"lower",IF(AND(percentiles!$C$3&gt;S6B_num_weighting!M10,percentiles!$C$3&lt;S6B_num_weighting!N10),"upper","n/a"))</f>
        <v>n/a</v>
      </c>
    </row>
    <row r="11" spans="1:15" x14ac:dyDescent="0.35">
      <c r="A11" s="98" t="s">
        <v>69</v>
      </c>
      <c r="B11" s="111" t="s">
        <v>64</v>
      </c>
      <c r="C11" s="112">
        <v>43374</v>
      </c>
      <c r="D11" s="101">
        <v>0.65113835754334271</v>
      </c>
      <c r="E11" s="101">
        <f t="shared" si="0"/>
        <v>3.757870820824797E-2</v>
      </c>
      <c r="F11" s="101">
        <v>4.8552959268154273E-3</v>
      </c>
      <c r="G11" s="101">
        <v>5.2879447068182907E-3</v>
      </c>
      <c r="H11" s="98">
        <v>5</v>
      </c>
      <c r="I11" s="101">
        <f t="shared" si="1"/>
        <v>9.8570153214161474E-2</v>
      </c>
      <c r="J11" s="101">
        <f t="shared" si="2"/>
        <v>0.13614886142240945</v>
      </c>
      <c r="K11" s="111" t="str">
        <f>IF(AND(percentiles!$C$2&gt;S6B_num_weighting!I11,percentiles!$C$2&lt;S6B_num_weighting!J11),"lower",IF(AND(percentiles!$C$3&gt;S6B_num_weighting!I11,percentiles!$C$3&lt;S6B_num_weighting!J11),"upper","n/a"))</f>
        <v>n/a</v>
      </c>
      <c r="L11" s="98">
        <v>2</v>
      </c>
      <c r="M11" s="101">
        <f t="shared" si="3"/>
        <v>2.6630471104187033E-2</v>
      </c>
      <c r="N11" s="101">
        <f t="shared" si="4"/>
        <v>6.4209179312435E-2</v>
      </c>
      <c r="O11" s="111" t="str">
        <f>IF(AND(percentiles!$C$2&gt;S6B_num_weighting!M11,percentiles!$C$2&lt;S6B_num_weighting!N11),"lower",IF(AND(percentiles!$C$3&gt;S6B_num_weighting!M11,percentiles!$C$3&lt;S6B_num_weighting!N11),"upper","n/a"))</f>
        <v>n/a</v>
      </c>
    </row>
    <row r="12" spans="1:15" x14ac:dyDescent="0.35">
      <c r="A12" s="98" t="s">
        <v>70</v>
      </c>
      <c r="B12" s="111" t="s">
        <v>60</v>
      </c>
      <c r="C12" s="112">
        <v>44105</v>
      </c>
      <c r="D12" s="101">
        <v>0.46375952276158133</v>
      </c>
      <c r="E12" s="101">
        <f t="shared" si="0"/>
        <v>2.676464008418325E-2</v>
      </c>
      <c r="F12" s="101">
        <v>2.3024038240218658E-2</v>
      </c>
      <c r="G12" s="101">
        <v>2.8693077304654976E-2</v>
      </c>
      <c r="H12" s="98">
        <v>20</v>
      </c>
      <c r="I12" s="101">
        <f t="shared" si="1"/>
        <v>0.58100347079119607</v>
      </c>
      <c r="J12" s="101">
        <f t="shared" si="2"/>
        <v>0.6077681108753793</v>
      </c>
      <c r="K12" s="111" t="str">
        <f>IF(AND(percentiles!$C$2&gt;S6B_num_weighting!I12,percentiles!$C$2&lt;S6B_num_weighting!J12),"lower",IF(AND(percentiles!$C$3&gt;S6B_num_weighting!I12,percentiles!$C$3&lt;S6B_num_weighting!J12),"upper","n/a"))</f>
        <v>n/a</v>
      </c>
      <c r="L12" s="98">
        <v>22</v>
      </c>
      <c r="M12" s="101">
        <f t="shared" si="3"/>
        <v>0.68645778721876816</v>
      </c>
      <c r="N12" s="101">
        <f t="shared" si="4"/>
        <v>0.71322242730295138</v>
      </c>
      <c r="O12" s="111" t="str">
        <f>IF(AND(percentiles!$C$2&gt;S6B_num_weighting!M12,percentiles!$C$2&lt;S6B_num_weighting!N12),"lower",IF(AND(percentiles!$C$3&gt;S6B_num_weighting!M12,percentiles!$C$3&lt;S6B_num_weighting!N12),"upper","n/a"))</f>
        <v>n/a</v>
      </c>
    </row>
    <row r="13" spans="1:15" x14ac:dyDescent="0.35">
      <c r="A13" s="98" t="s">
        <v>71</v>
      </c>
      <c r="B13" s="111" t="s">
        <v>60</v>
      </c>
      <c r="C13" s="112">
        <v>43617</v>
      </c>
      <c r="D13" s="101">
        <v>0.58802938329937693</v>
      </c>
      <c r="E13" s="101">
        <f t="shared" si="0"/>
        <v>3.3936542605558888E-2</v>
      </c>
      <c r="F13" s="101">
        <v>1.9655141647369791E-2</v>
      </c>
      <c r="G13" s="101">
        <v>2.4810521925462872E-2</v>
      </c>
      <c r="H13" s="98">
        <v>17</v>
      </c>
      <c r="I13" s="101">
        <f t="shared" si="1"/>
        <v>0.4786588075316206</v>
      </c>
      <c r="J13" s="101">
        <f t="shared" si="2"/>
        <v>0.5125953501371795</v>
      </c>
      <c r="K13" s="111" t="str">
        <f>IF(AND(percentiles!$C$2&gt;S6B_num_weighting!I13,percentiles!$C$2&lt;S6B_num_weighting!J13),"lower",IF(AND(percentiles!$C$3&gt;S6B_num_weighting!I13,percentiles!$C$3&lt;S6B_num_weighting!J13),"upper","n/a"))</f>
        <v>n/a</v>
      </c>
      <c r="L13" s="98">
        <v>19</v>
      </c>
      <c r="M13" s="101">
        <f t="shared" si="3"/>
        <v>0.54706692818563718</v>
      </c>
      <c r="N13" s="101">
        <f t="shared" si="4"/>
        <v>0.58100347079119607</v>
      </c>
      <c r="O13" s="111" t="str">
        <f>IF(AND(percentiles!$C$2&gt;S6B_num_weighting!M13,percentiles!$C$2&lt;S6B_num_weighting!N13),"lower",IF(AND(percentiles!$C$3&gt;S6B_num_weighting!M13,percentiles!$C$3&lt;S6B_num_weighting!N13),"upper","n/a"))</f>
        <v>n/a</v>
      </c>
    </row>
    <row r="14" spans="1:15" x14ac:dyDescent="0.35">
      <c r="A14" s="98" t="s">
        <v>72</v>
      </c>
      <c r="B14" s="111" t="s">
        <v>60</v>
      </c>
      <c r="C14" s="112">
        <v>44166</v>
      </c>
      <c r="D14" s="101">
        <v>0.44699527334523209</v>
      </c>
      <c r="E14" s="101">
        <f t="shared" si="0"/>
        <v>2.5797136281267841E-2</v>
      </c>
      <c r="F14" s="101">
        <v>4.0769153900130336E-3</v>
      </c>
      <c r="G14" s="101">
        <v>6.6406662510517939E-3</v>
      </c>
      <c r="H14" s="98">
        <v>3</v>
      </c>
      <c r="I14" s="101">
        <f t="shared" si="1"/>
        <v>5.1790724530931365E-2</v>
      </c>
      <c r="J14" s="101">
        <f t="shared" si="2"/>
        <v>7.7587860812199205E-2</v>
      </c>
      <c r="K14" s="111" t="str">
        <f>IF(AND(percentiles!$C$2&gt;S6B_num_weighting!I14,percentiles!$C$2&lt;S6B_num_weighting!J14),"lower",IF(AND(percentiles!$C$3&gt;S6B_num_weighting!I14,percentiles!$C$3&lt;S6B_num_weighting!J14),"upper","n/a"))</f>
        <v>n/a</v>
      </c>
      <c r="L14" s="98">
        <v>3</v>
      </c>
      <c r="M14" s="101">
        <f t="shared" si="3"/>
        <v>6.4209179312435E-2</v>
      </c>
      <c r="N14" s="101">
        <f t="shared" si="4"/>
        <v>9.000631559370284E-2</v>
      </c>
      <c r="O14" s="111" t="str">
        <f>IF(AND(percentiles!$C$2&gt;S6B_num_weighting!M14,percentiles!$C$2&lt;S6B_num_weighting!N14),"lower",IF(AND(percentiles!$C$3&gt;S6B_num_weighting!M14,percentiles!$C$3&lt;S6B_num_weighting!N14),"upper","n/a"))</f>
        <v>n/a</v>
      </c>
    </row>
    <row r="15" spans="1:15" x14ac:dyDescent="0.35">
      <c r="A15" s="98" t="s">
        <v>73</v>
      </c>
      <c r="B15" s="111" t="s">
        <v>62</v>
      </c>
      <c r="C15" s="112">
        <v>43374</v>
      </c>
      <c r="D15" s="101">
        <v>0.43568717872637802</v>
      </c>
      <c r="E15" s="101">
        <f t="shared" si="0"/>
        <v>2.514451985474302E-2</v>
      </c>
      <c r="F15" s="101">
        <v>4.3374877099016336E-2</v>
      </c>
      <c r="G15" s="101">
        <v>5.9204045954229886E-2</v>
      </c>
      <c r="H15" s="98">
        <v>25</v>
      </c>
      <c r="I15" s="101">
        <f t="shared" si="1"/>
        <v>0.80049853727370424</v>
      </c>
      <c r="J15" s="101">
        <f t="shared" si="2"/>
        <v>0.82564305712844721</v>
      </c>
      <c r="K15" s="111" t="str">
        <f>IF(AND(percentiles!$C$2&gt;S6B_num_weighting!I15,percentiles!$C$2&lt;S6B_num_weighting!J15),"lower",IF(AND(percentiles!$C$3&gt;S6B_num_weighting!I15,percentiles!$C$3&lt;S6B_num_weighting!J15),"upper","n/a"))</f>
        <v>n/a</v>
      </c>
      <c r="L15" s="98">
        <v>25</v>
      </c>
      <c r="M15" s="101">
        <f t="shared" si="3"/>
        <v>0.80049853727370424</v>
      </c>
      <c r="N15" s="101">
        <f t="shared" si="4"/>
        <v>0.82564305712844721</v>
      </c>
      <c r="O15" s="111" t="str">
        <f>IF(AND(percentiles!$C$2&gt;S6B_num_weighting!M15,percentiles!$C$2&lt;S6B_num_weighting!N15),"lower",IF(AND(percentiles!$C$3&gt;S6B_num_weighting!M15,percentiles!$C$3&lt;S6B_num_weighting!N15),"upper","n/a"))</f>
        <v>n/a</v>
      </c>
    </row>
    <row r="16" spans="1:15" x14ac:dyDescent="0.35">
      <c r="A16" s="98" t="s">
        <v>74</v>
      </c>
      <c r="B16" s="111" t="s">
        <v>64</v>
      </c>
      <c r="C16" s="112">
        <v>44774</v>
      </c>
      <c r="D16" s="101">
        <v>0.46143473371391447</v>
      </c>
      <c r="E16" s="101">
        <f t="shared" si="0"/>
        <v>2.6630471104187033E-2</v>
      </c>
      <c r="F16" s="101">
        <v>2.2755816363456542E-3</v>
      </c>
      <c r="G16" s="101">
        <v>4.4050961567315703E-3</v>
      </c>
      <c r="H16" s="98">
        <v>1</v>
      </c>
      <c r="I16" s="101">
        <f t="shared" si="1"/>
        <v>0</v>
      </c>
      <c r="J16" s="101">
        <f t="shared" si="2"/>
        <v>2.6630471104187033E-2</v>
      </c>
      <c r="K16" s="111" t="str">
        <f>IF(AND(percentiles!$C$2&gt;S6B_num_weighting!I16,percentiles!$C$2&lt;S6B_num_weighting!J16),"lower",IF(AND(percentiles!$C$3&gt;S6B_num_weighting!I16,percentiles!$C$3&lt;S6B_num_weighting!J16),"upper","n/a"))</f>
        <v>n/a</v>
      </c>
      <c r="L16" s="98">
        <v>1</v>
      </c>
      <c r="M16" s="101">
        <f t="shared" si="3"/>
        <v>0</v>
      </c>
      <c r="N16" s="101">
        <f t="shared" si="4"/>
        <v>2.6630471104187033E-2</v>
      </c>
      <c r="O16" s="111" t="str">
        <f>IF(AND(percentiles!$C$2&gt;S6B_num_weighting!M16,percentiles!$C$2&lt;S6B_num_weighting!N16),"lower",IF(AND(percentiles!$C$3&gt;S6B_num_weighting!M16,percentiles!$C$3&lt;S6B_num_weighting!N16),"upper","n/a"))</f>
        <v>n/a</v>
      </c>
    </row>
    <row r="17" spans="1:15" x14ac:dyDescent="0.35">
      <c r="A17" s="98" t="s">
        <v>75</v>
      </c>
      <c r="B17" s="111" t="s">
        <v>60</v>
      </c>
      <c r="C17" s="112">
        <v>44044</v>
      </c>
      <c r="D17" s="101">
        <v>0.52309833733909328</v>
      </c>
      <c r="E17" s="101">
        <f t="shared" si="0"/>
        <v>3.018922100865017E-2</v>
      </c>
      <c r="F17" s="101">
        <v>2.0635077485665006E-2</v>
      </c>
      <c r="G17" s="101">
        <v>2.126373682262318E-2</v>
      </c>
      <c r="H17" s="98">
        <v>18</v>
      </c>
      <c r="I17" s="101">
        <f t="shared" si="1"/>
        <v>0.5125953501371795</v>
      </c>
      <c r="J17" s="101">
        <f t="shared" si="2"/>
        <v>0.54278457114582968</v>
      </c>
      <c r="K17" s="111" t="str">
        <f>IF(AND(percentiles!$C$2&gt;S6B_num_weighting!I17,percentiles!$C$2&lt;S6B_num_weighting!J17),"lower",IF(AND(percentiles!$C$3&gt;S6B_num_weighting!I17,percentiles!$C$3&lt;S6B_num_weighting!J17),"upper","n/a"))</f>
        <v>n/a</v>
      </c>
      <c r="L17" s="98">
        <v>17</v>
      </c>
      <c r="M17" s="101">
        <f t="shared" si="3"/>
        <v>0.4786588075316206</v>
      </c>
      <c r="N17" s="101">
        <f t="shared" si="4"/>
        <v>0.50884802854027078</v>
      </c>
      <c r="O17" s="111" t="str">
        <f>IF(AND(percentiles!$C$2&gt;S6B_num_weighting!M17,percentiles!$C$2&lt;S6B_num_weighting!N17),"lower",IF(AND(percentiles!$C$3&gt;S6B_num_weighting!M17,percentiles!$C$3&lt;S6B_num_weighting!N17),"upper","n/a"))</f>
        <v>n/a</v>
      </c>
    </row>
    <row r="18" spans="1:15" x14ac:dyDescent="0.35">
      <c r="A18" s="98" t="s">
        <v>76</v>
      </c>
      <c r="B18" s="111" t="s">
        <v>60</v>
      </c>
      <c r="C18" s="112">
        <v>44440</v>
      </c>
      <c r="D18" s="101">
        <v>0.66223116037649488</v>
      </c>
      <c r="E18" s="101">
        <f t="shared" si="0"/>
        <v>3.8218899645366462E-2</v>
      </c>
      <c r="F18" s="101">
        <v>2.1757127065747554E-2</v>
      </c>
      <c r="G18" s="101">
        <v>2.2192649168466076E-2</v>
      </c>
      <c r="H18" s="98">
        <v>19</v>
      </c>
      <c r="I18" s="101">
        <f t="shared" si="1"/>
        <v>0.54278457114582956</v>
      </c>
      <c r="J18" s="101">
        <f t="shared" si="2"/>
        <v>0.58100347079119607</v>
      </c>
      <c r="K18" s="111" t="str">
        <f>IF(AND(percentiles!$C$2&gt;S6B_num_weighting!I18,percentiles!$C$2&lt;S6B_num_weighting!J18),"lower",IF(AND(percentiles!$C$3&gt;S6B_num_weighting!I18,percentiles!$C$3&lt;S6B_num_weighting!J18),"upper","n/a"))</f>
        <v>n/a</v>
      </c>
      <c r="L18" s="98">
        <v>18</v>
      </c>
      <c r="M18" s="101">
        <f t="shared" si="3"/>
        <v>0.50884802854027078</v>
      </c>
      <c r="N18" s="101">
        <f t="shared" si="4"/>
        <v>0.54706692818563729</v>
      </c>
      <c r="O18" s="111" t="str">
        <f>IF(AND(percentiles!$C$2&gt;S6B_num_weighting!M18,percentiles!$C$2&lt;S6B_num_weighting!N18),"lower",IF(AND(percentiles!$C$3&gt;S6B_num_weighting!M18,percentiles!$C$3&lt;S6B_num_weighting!N18),"upper","n/a"))</f>
        <v>n/a</v>
      </c>
    </row>
    <row r="19" spans="1:15" x14ac:dyDescent="0.35">
      <c r="A19" s="98" t="s">
        <v>77</v>
      </c>
      <c r="B19" s="111" t="s">
        <v>60</v>
      </c>
      <c r="C19" s="112">
        <v>45170</v>
      </c>
      <c r="D19" s="101">
        <v>0.35377110022509123</v>
      </c>
      <c r="E19" s="101">
        <f t="shared" si="0"/>
        <v>2.041695254757684E-2</v>
      </c>
      <c r="F19" s="101">
        <v>6.7914189795362911E-3</v>
      </c>
      <c r="G19" s="101">
        <v>1.4040421911348393E-2</v>
      </c>
      <c r="H19" s="98">
        <v>8</v>
      </c>
      <c r="I19" s="101">
        <f t="shared" si="1"/>
        <v>0.19545279972690138</v>
      </c>
      <c r="J19" s="101">
        <f t="shared" si="2"/>
        <v>0.21586975227447822</v>
      </c>
      <c r="K19" s="111" t="str">
        <f>IF(AND(percentiles!$C$2&gt;S6B_num_weighting!I19,percentiles!$C$2&lt;S6B_num_weighting!J19),"lower",IF(AND(percentiles!$C$3&gt;S6B_num_weighting!I19,percentiles!$C$3&lt;S6B_num_weighting!J19),"upper","n/a"))</f>
        <v>n/a</v>
      </c>
      <c r="L19" s="98">
        <v>12</v>
      </c>
      <c r="M19" s="101">
        <f t="shared" si="3"/>
        <v>0.35024353520425394</v>
      </c>
      <c r="N19" s="101">
        <f t="shared" si="4"/>
        <v>0.3706604877518308</v>
      </c>
      <c r="O19" s="111" t="str">
        <f>IF(AND(percentiles!$C$2&gt;S6B_num_weighting!M19,percentiles!$C$2&lt;S6B_num_weighting!N19),"lower",IF(AND(percentiles!$C$3&gt;S6B_num_weighting!M19,percentiles!$C$3&lt;S6B_num_weighting!N19),"upper","n/a"))</f>
        <v>n/a</v>
      </c>
    </row>
    <row r="20" spans="1:15" x14ac:dyDescent="0.35">
      <c r="A20" s="98" t="s">
        <v>79</v>
      </c>
      <c r="B20" s="111" t="s">
        <v>60</v>
      </c>
      <c r="C20" s="112">
        <v>44470</v>
      </c>
      <c r="D20" s="101">
        <v>0.45984553702581071</v>
      </c>
      <c r="E20" s="101">
        <f t="shared" si="0"/>
        <v>2.6538754869171972E-2</v>
      </c>
      <c r="F20" s="101">
        <v>1.2354152413012926E-2</v>
      </c>
      <c r="G20" s="101">
        <v>2.0653424791579913E-2</v>
      </c>
      <c r="H20" s="98">
        <v>15</v>
      </c>
      <c r="I20" s="101">
        <f t="shared" si="1"/>
        <v>0.42210185997714478</v>
      </c>
      <c r="J20" s="101">
        <f t="shared" si="2"/>
        <v>0.44864061484631673</v>
      </c>
      <c r="K20" s="111" t="str">
        <f>IF(AND(percentiles!$C$2&gt;S6B_num_weighting!I20,percentiles!$C$2&lt;S6B_num_weighting!J20),"lower",IF(AND(percentiles!$C$3&gt;S6B_num_weighting!I20,percentiles!$C$3&lt;S6B_num_weighting!J20),"upper","n/a"))</f>
        <v>n/a</v>
      </c>
      <c r="L20" s="98">
        <v>16</v>
      </c>
      <c r="M20" s="101">
        <f t="shared" si="3"/>
        <v>0.45212005266244865</v>
      </c>
      <c r="N20" s="101">
        <f t="shared" si="4"/>
        <v>0.4786588075316206</v>
      </c>
      <c r="O20" s="111" t="str">
        <f>IF(AND(percentiles!$C$2&gt;S6B_num_weighting!M20,percentiles!$C$2&lt;S6B_num_weighting!N20),"lower",IF(AND(percentiles!$C$3&gt;S6B_num_weighting!M20,percentiles!$C$3&lt;S6B_num_weighting!N20),"upper","n/a"))</f>
        <v>n/a</v>
      </c>
    </row>
    <row r="21" spans="1:15" x14ac:dyDescent="0.35">
      <c r="A21" s="98" t="s">
        <v>80</v>
      </c>
      <c r="B21" s="111" t="s">
        <v>64</v>
      </c>
      <c r="C21" s="112">
        <v>44743</v>
      </c>
      <c r="D21" s="101">
        <v>0.36356692562170578</v>
      </c>
      <c r="E21" s="101">
        <f t="shared" si="0"/>
        <v>2.0982292401962272E-2</v>
      </c>
      <c r="F21" s="101">
        <v>4.2783508556104681E-3</v>
      </c>
      <c r="G21" s="101">
        <v>7.8582488605800777E-3</v>
      </c>
      <c r="H21" s="98">
        <v>4</v>
      </c>
      <c r="I21" s="101">
        <f t="shared" si="1"/>
        <v>7.7587860812199205E-2</v>
      </c>
      <c r="J21" s="101">
        <f t="shared" si="2"/>
        <v>9.8570153214161474E-2</v>
      </c>
      <c r="K21" s="111" t="str">
        <f>IF(AND(percentiles!$C$2&gt;S6B_num_weighting!I21,percentiles!$C$2&lt;S6B_num_weighting!J21),"lower",IF(AND(percentiles!$C$3&gt;S6B_num_weighting!I21,percentiles!$C$3&lt;S6B_num_weighting!J21),"upper","n/a"))</f>
        <v>n/a</v>
      </c>
      <c r="L21" s="98">
        <v>5</v>
      </c>
      <c r="M21" s="101">
        <f t="shared" si="3"/>
        <v>0.11516656902044718</v>
      </c>
      <c r="N21" s="101">
        <f t="shared" si="4"/>
        <v>0.13614886142240945</v>
      </c>
      <c r="O21" s="111" t="str">
        <f>IF(AND(percentiles!$C$2&gt;S6B_num_weighting!M21,percentiles!$C$2&lt;S6B_num_weighting!N21),"lower",IF(AND(percentiles!$C$3&gt;S6B_num_weighting!M21,percentiles!$C$3&lt;S6B_num_weighting!N21),"upper","n/a"))</f>
        <v>n/a</v>
      </c>
    </row>
    <row r="22" spans="1:15" x14ac:dyDescent="0.35">
      <c r="A22" s="98" t="s">
        <v>81</v>
      </c>
      <c r="B22" s="111" t="s">
        <v>60</v>
      </c>
      <c r="C22" s="112">
        <v>44287</v>
      </c>
      <c r="D22" s="101">
        <v>0.3993000486181455</v>
      </c>
      <c r="E22" s="101">
        <f t="shared" si="0"/>
        <v>2.3044533993010392E-2</v>
      </c>
      <c r="F22" s="101">
        <v>9.562035926016026E-3</v>
      </c>
      <c r="G22" s="101">
        <v>1.6115593242609551E-2</v>
      </c>
      <c r="H22" s="98">
        <v>11</v>
      </c>
      <c r="I22" s="101">
        <f t="shared" si="1"/>
        <v>0.28340042976391272</v>
      </c>
      <c r="J22" s="101">
        <f t="shared" si="2"/>
        <v>0.30644496375692309</v>
      </c>
      <c r="K22" s="111" t="str">
        <f>IF(AND(percentiles!$C$2&gt;S6B_num_weighting!I22,percentiles!$C$2&lt;S6B_num_weighting!J22),"lower",IF(AND(percentiles!$C$3&gt;S6B_num_weighting!I22,percentiles!$C$3&lt;S6B_num_weighting!J22),"upper","n/a"))</f>
        <v>n/a</v>
      </c>
      <c r="L22" s="98">
        <v>14</v>
      </c>
      <c r="M22" s="101">
        <f t="shared" si="3"/>
        <v>0.3990573259841344</v>
      </c>
      <c r="N22" s="101">
        <f t="shared" si="4"/>
        <v>0.42210185997714478</v>
      </c>
      <c r="O22" s="111" t="str">
        <f>IF(AND(percentiles!$C$2&gt;S6B_num_weighting!M22,percentiles!$C$2&lt;S6B_num_weighting!N22),"lower",IF(AND(percentiles!$C$3&gt;S6B_num_weighting!M22,percentiles!$C$3&lt;S6B_num_weighting!N22),"upper","n/a"))</f>
        <v>n/a</v>
      </c>
    </row>
    <row r="23" spans="1:15" x14ac:dyDescent="0.35">
      <c r="A23" s="98" t="s">
        <v>82</v>
      </c>
      <c r="B23" s="111" t="s">
        <v>64</v>
      </c>
      <c r="C23" s="112">
        <v>43252</v>
      </c>
      <c r="D23" s="101">
        <v>0.51226121409503544</v>
      </c>
      <c r="E23" s="101">
        <f t="shared" si="0"/>
        <v>2.9563785434954665E-2</v>
      </c>
      <c r="F23" s="101">
        <v>2.5482807214083011E-2</v>
      </c>
      <c r="G23" s="101">
        <v>3.6028830046840259E-2</v>
      </c>
      <c r="H23" s="98">
        <v>21</v>
      </c>
      <c r="I23" s="101">
        <f t="shared" si="1"/>
        <v>0.6077681108753793</v>
      </c>
      <c r="J23" s="101">
        <f t="shared" si="2"/>
        <v>0.63733189631033393</v>
      </c>
      <c r="K23" s="111" t="str">
        <f>IF(AND(percentiles!$C$2&gt;S6B_num_weighting!I23,percentiles!$C$2&lt;S6B_num_weighting!J23),"lower",IF(AND(percentiles!$C$3&gt;S6B_num_weighting!I23,percentiles!$C$3&lt;S6B_num_weighting!J23),"upper","n/a"))</f>
        <v>upper</v>
      </c>
      <c r="L23" s="98">
        <v>24</v>
      </c>
      <c r="M23" s="101">
        <f t="shared" si="3"/>
        <v>0.7709347518387496</v>
      </c>
      <c r="N23" s="101">
        <f t="shared" si="4"/>
        <v>0.80049853727370424</v>
      </c>
      <c r="O23" s="111" t="str">
        <f>IF(AND(percentiles!$C$2&gt;S6B_num_weighting!M23,percentiles!$C$2&lt;S6B_num_weighting!N23),"lower",IF(AND(percentiles!$C$3&gt;S6B_num_weighting!M23,percentiles!$C$3&lt;S6B_num_weighting!N23),"upper","n/a"))</f>
        <v>n/a</v>
      </c>
    </row>
    <row r="24" spans="1:15" x14ac:dyDescent="0.35">
      <c r="A24" s="98" t="s">
        <v>83</v>
      </c>
      <c r="B24" s="111" t="s">
        <v>62</v>
      </c>
      <c r="C24" s="112">
        <v>43282</v>
      </c>
      <c r="D24" s="101">
        <v>0.4207091120087873</v>
      </c>
      <c r="E24" s="101">
        <f t="shared" si="0"/>
        <v>2.4280100807418589E-2</v>
      </c>
      <c r="F24" s="101">
        <v>5.5213261877583419E-3</v>
      </c>
      <c r="G24" s="101">
        <v>8.1257796371553195E-3</v>
      </c>
      <c r="H24" s="98">
        <v>6</v>
      </c>
      <c r="I24" s="101">
        <f t="shared" si="1"/>
        <v>0.13614886142240945</v>
      </c>
      <c r="J24" s="101">
        <f t="shared" si="2"/>
        <v>0.16042896222982805</v>
      </c>
      <c r="K24" s="111" t="str">
        <f>IF(AND(percentiles!$C$2&gt;S6B_num_weighting!I24,percentiles!$C$2&lt;S6B_num_weighting!J24),"lower",IF(AND(percentiles!$C$3&gt;S6B_num_weighting!I24,percentiles!$C$3&lt;S6B_num_weighting!J24),"upper","n/a"))</f>
        <v>n/a</v>
      </c>
      <c r="L24" s="98">
        <v>7</v>
      </c>
      <c r="M24" s="101">
        <f t="shared" si="3"/>
        <v>0.17117269891948281</v>
      </c>
      <c r="N24" s="101">
        <f t="shared" si="4"/>
        <v>0.19545279972690138</v>
      </c>
      <c r="O24" s="111" t="str">
        <f>IF(AND(percentiles!$C$2&gt;S6B_num_weighting!M24,percentiles!$C$2&lt;S6B_num_weighting!N24),"lower",IF(AND(percentiles!$C$3&gt;S6B_num_weighting!M24,percentiles!$C$3&lt;S6B_num_weighting!N24),"upper","n/a"))</f>
        <v>n/a</v>
      </c>
    </row>
    <row r="25" spans="1:15" x14ac:dyDescent="0.35">
      <c r="A25" s="98" t="s">
        <v>84</v>
      </c>
      <c r="B25" s="111" t="s">
        <v>64</v>
      </c>
      <c r="C25" s="112">
        <v>44105</v>
      </c>
      <c r="D25" s="101">
        <v>0.67359564618131929</v>
      </c>
      <c r="E25" s="101">
        <f t="shared" si="0"/>
        <v>3.8874770538316963E-2</v>
      </c>
      <c r="F25" s="101">
        <v>7.7214814215814621E-3</v>
      </c>
      <c r="G25" s="101">
        <v>8.3034022205129183E-3</v>
      </c>
      <c r="H25" s="98">
        <v>10</v>
      </c>
      <c r="I25" s="101">
        <f t="shared" si="1"/>
        <v>0.24452565922559577</v>
      </c>
      <c r="J25" s="101">
        <f t="shared" si="2"/>
        <v>0.28340042976391272</v>
      </c>
      <c r="K25" s="111" t="str">
        <f>IF(AND(percentiles!$C$2&gt;S6B_num_weighting!I25,percentiles!$C$2&lt;S6B_num_weighting!J25),"lower",IF(AND(percentiles!$C$3&gt;S6B_num_weighting!I25,percentiles!$C$3&lt;S6B_num_weighting!J25),"upper","n/a"))</f>
        <v>n/a</v>
      </c>
      <c r="L25" s="98">
        <v>8</v>
      </c>
      <c r="M25" s="101">
        <f t="shared" si="3"/>
        <v>0.19545279972690138</v>
      </c>
      <c r="N25" s="101">
        <f t="shared" si="4"/>
        <v>0.23432757026521833</v>
      </c>
      <c r="O25" s="111" t="str">
        <f>IF(AND(percentiles!$C$2&gt;S6B_num_weighting!M25,percentiles!$C$2&lt;S6B_num_weighting!N25),"lower",IF(AND(percentiles!$C$3&gt;S6B_num_weighting!M25,percentiles!$C$3&lt;S6B_num_weighting!N25),"upper","n/a"))</f>
        <v>n/a</v>
      </c>
    </row>
    <row r="26" spans="1:15" x14ac:dyDescent="0.35">
      <c r="A26" s="98" t="s">
        <v>85</v>
      </c>
      <c r="B26" s="111" t="s">
        <v>19</v>
      </c>
      <c r="C26" s="112">
        <v>43191</v>
      </c>
      <c r="D26" s="101">
        <v>0.52013487460003438</v>
      </c>
      <c r="E26" s="101">
        <f t="shared" si="0"/>
        <v>3.0018192685303858E-2</v>
      </c>
      <c r="F26" s="101">
        <v>1.4403665611887776E-2</v>
      </c>
      <c r="G26" s="101">
        <v>1.724652444960446E-2</v>
      </c>
      <c r="H26" s="98">
        <v>16</v>
      </c>
      <c r="I26" s="101">
        <f t="shared" si="1"/>
        <v>0.44864061484631673</v>
      </c>
      <c r="J26" s="101">
        <f t="shared" si="2"/>
        <v>0.4786588075316206</v>
      </c>
      <c r="K26" s="111" t="str">
        <f>IF(AND(percentiles!$C$2&gt;S6B_num_weighting!I26,percentiles!$C$2&lt;S6B_num_weighting!J26),"lower",IF(AND(percentiles!$C$3&gt;S6B_num_weighting!I26,percentiles!$C$3&lt;S6B_num_weighting!J26),"upper","n/a"))</f>
        <v>n/a</v>
      </c>
      <c r="L26" s="98">
        <v>15</v>
      </c>
      <c r="M26" s="101">
        <f t="shared" si="3"/>
        <v>0.42210185997714478</v>
      </c>
      <c r="N26" s="101">
        <f t="shared" si="4"/>
        <v>0.45212005266244865</v>
      </c>
      <c r="O26" s="111" t="str">
        <f>IF(AND(percentiles!$C$2&gt;S6B_num_weighting!M26,percentiles!$C$2&lt;S6B_num_weighting!N26),"lower",IF(AND(percentiles!$C$3&gt;S6B_num_weighting!M26,percentiles!$C$3&lt;S6B_num_weighting!N26),"upper","n/a"))</f>
        <v>n/a</v>
      </c>
    </row>
    <row r="27" spans="1:15" x14ac:dyDescent="0.35">
      <c r="A27" s="98" t="s">
        <v>85</v>
      </c>
      <c r="B27" s="111" t="s">
        <v>60</v>
      </c>
      <c r="C27" s="112">
        <v>44256</v>
      </c>
      <c r="D27" s="101">
        <v>0.51198307622823036</v>
      </c>
      <c r="E27" s="101">
        <f t="shared" si="0"/>
        <v>2.9547733452119914E-2</v>
      </c>
      <c r="F27" s="101">
        <v>1.0616043412141594E-2</v>
      </c>
      <c r="G27" s="101">
        <v>1.2737015209128252E-2</v>
      </c>
      <c r="H27" s="98">
        <v>12</v>
      </c>
      <c r="I27" s="101">
        <f t="shared" si="1"/>
        <v>0.30644496375692309</v>
      </c>
      <c r="J27" s="101">
        <f t="shared" si="2"/>
        <v>0.33599269720904301</v>
      </c>
      <c r="K27" s="111" t="str">
        <f>IF(AND(percentiles!$C$2&gt;S6B_num_weighting!I27,percentiles!$C$2&lt;S6B_num_weighting!J27),"lower",IF(AND(percentiles!$C$3&gt;S6B_num_weighting!I27,percentiles!$C$3&lt;S6B_num_weighting!J27),"upper","n/a"))</f>
        <v>n/a</v>
      </c>
      <c r="L27" s="98">
        <v>11</v>
      </c>
      <c r="M27" s="101">
        <f t="shared" si="3"/>
        <v>0.32069580175213402</v>
      </c>
      <c r="N27" s="101">
        <f t="shared" si="4"/>
        <v>0.35024353520425394</v>
      </c>
      <c r="O27" s="111" t="str">
        <f>IF(AND(percentiles!$C$2&gt;S6B_num_weighting!M27,percentiles!$C$2&lt;S6B_num_weighting!N27),"lower",IF(AND(percentiles!$C$3&gt;S6B_num_weighting!M27,percentiles!$C$3&lt;S6B_num_weighting!N27),"upper","n/a"))</f>
        <v>n/a</v>
      </c>
    </row>
    <row r="28" spans="1:15" x14ac:dyDescent="0.35">
      <c r="A28" s="98" t="s">
        <v>86</v>
      </c>
      <c r="B28" s="111" t="s">
        <v>62</v>
      </c>
      <c r="C28" s="112">
        <v>44228</v>
      </c>
      <c r="D28" s="101">
        <v>0.67764757208032977</v>
      </c>
      <c r="E28" s="101">
        <f t="shared" si="0"/>
        <v>3.9108616600795662E-2</v>
      </c>
      <c r="F28" s="101">
        <v>0.13060576892249004</v>
      </c>
      <c r="G28" s="101">
        <v>0.13899008465641477</v>
      </c>
      <c r="H28" s="98">
        <v>28</v>
      </c>
      <c r="I28" s="101">
        <f t="shared" si="1"/>
        <v>0.91249366562101686</v>
      </c>
      <c r="J28" s="101">
        <f t="shared" si="2"/>
        <v>0.95160228222181253</v>
      </c>
      <c r="K28" s="111" t="str">
        <f>IF(AND(percentiles!$C$2&gt;S6B_num_weighting!I28,percentiles!$C$2&lt;S6B_num_weighting!J28),"lower",IF(AND(percentiles!$C$3&gt;S6B_num_weighting!I28,percentiles!$C$3&lt;S6B_num_weighting!J28),"upper","n/a"))</f>
        <v>n/a</v>
      </c>
      <c r="L28" s="98">
        <v>28</v>
      </c>
      <c r="M28" s="101">
        <f t="shared" si="3"/>
        <v>0.91249366562101686</v>
      </c>
      <c r="N28" s="101">
        <f t="shared" si="4"/>
        <v>0.95160228222181253</v>
      </c>
      <c r="O28" s="111" t="str">
        <f>IF(AND(percentiles!$C$2&gt;S6B_num_weighting!M28,percentiles!$C$2&lt;S6B_num_weighting!N28),"lower",IF(AND(percentiles!$C$3&gt;S6B_num_weighting!M28,percentiles!$C$3&lt;S6B_num_weighting!N28),"upper","n/a"))</f>
        <v>n/a</v>
      </c>
    </row>
    <row r="29" spans="1:15" x14ac:dyDescent="0.35">
      <c r="A29" s="98" t="s">
        <v>86</v>
      </c>
      <c r="B29" s="111" t="s">
        <v>87</v>
      </c>
      <c r="C29" s="112">
        <v>44470</v>
      </c>
      <c r="D29" s="101">
        <v>0.67764757208032977</v>
      </c>
      <c r="E29" s="101">
        <f t="shared" si="0"/>
        <v>3.9108616600795662E-2</v>
      </c>
      <c r="F29" s="101">
        <v>0.10670690491311165</v>
      </c>
      <c r="G29" s="101">
        <v>0.11355701872632587</v>
      </c>
      <c r="H29" s="98">
        <v>27</v>
      </c>
      <c r="I29" s="101">
        <f t="shared" si="1"/>
        <v>0.87338504902022118</v>
      </c>
      <c r="J29" s="101">
        <f t="shared" si="2"/>
        <v>0.91249366562101686</v>
      </c>
      <c r="K29" s="111" t="str">
        <f>IF(AND(percentiles!$C$2&gt;S6B_num_weighting!I29,percentiles!$C$2&lt;S6B_num_weighting!J29),"lower",IF(AND(percentiles!$C$3&gt;S6B_num_weighting!I29,percentiles!$C$3&lt;S6B_num_weighting!J29),"upper","n/a"))</f>
        <v>n/a</v>
      </c>
      <c r="L29" s="98">
        <v>27</v>
      </c>
      <c r="M29" s="101">
        <f t="shared" si="3"/>
        <v>0.87338504902022118</v>
      </c>
      <c r="N29" s="101">
        <f t="shared" si="4"/>
        <v>0.91249366562101686</v>
      </c>
      <c r="O29" s="111" t="str">
        <f>IF(AND(percentiles!$C$2&gt;S6B_num_weighting!M29,percentiles!$C$2&lt;S6B_num_weighting!N29),"lower",IF(AND(percentiles!$C$3&gt;S6B_num_weighting!M29,percentiles!$C$3&lt;S6B_num_weighting!N29),"upper","n/a"))</f>
        <v>n/a</v>
      </c>
    </row>
    <row r="30" spans="1:15" x14ac:dyDescent="0.35">
      <c r="A30" s="98" t="s">
        <v>88</v>
      </c>
      <c r="B30" s="111" t="s">
        <v>64</v>
      </c>
      <c r="C30" s="112">
        <v>45047</v>
      </c>
      <c r="D30" s="101">
        <v>0.49204114477644079</v>
      </c>
      <c r="E30" s="101">
        <f t="shared" si="0"/>
        <v>2.8396838232303594E-2</v>
      </c>
      <c r="F30" s="101">
        <v>1.1051420490688723E-2</v>
      </c>
      <c r="G30" s="101">
        <v>1.5424927914741687E-2</v>
      </c>
      <c r="H30" s="98">
        <v>13</v>
      </c>
      <c r="I30" s="101">
        <f t="shared" si="1"/>
        <v>0.33599269720904301</v>
      </c>
      <c r="J30" s="101">
        <f t="shared" si="2"/>
        <v>0.36438953544134661</v>
      </c>
      <c r="K30" s="111" t="str">
        <f>IF(AND(percentiles!$C$2&gt;S6B_num_weighting!I30,percentiles!$C$2&lt;S6B_num_weighting!J30),"lower",IF(AND(percentiles!$C$3&gt;S6B_num_weighting!I30,percentiles!$C$3&lt;S6B_num_weighting!J30),"upper","n/a"))</f>
        <v>n/a</v>
      </c>
      <c r="L30" s="98">
        <v>13</v>
      </c>
      <c r="M30" s="101">
        <f t="shared" si="3"/>
        <v>0.3706604877518308</v>
      </c>
      <c r="N30" s="101">
        <f t="shared" si="4"/>
        <v>0.3990573259841344</v>
      </c>
      <c r="O30" s="111" t="str">
        <f>IF(AND(percentiles!$C$2&gt;S6B_num_weighting!M30,percentiles!$C$2&lt;S6B_num_weighting!N30),"lower",IF(AND(percentiles!$C$3&gt;S6B_num_weighting!M30,percentiles!$C$3&lt;S6B_num_weighting!N30),"upper","n/a"))</f>
        <v>lower</v>
      </c>
    </row>
    <row r="31" spans="1:15" x14ac:dyDescent="0.35">
      <c r="A31" s="98"/>
      <c r="B31" s="111"/>
      <c r="C31" s="112"/>
      <c r="D31" s="101"/>
      <c r="E31" s="101"/>
      <c r="F31" s="101"/>
      <c r="G31" s="101"/>
      <c r="H31" s="98"/>
      <c r="I31" s="101"/>
      <c r="J31" s="101"/>
      <c r="K31" s="111"/>
      <c r="L31" s="98"/>
      <c r="M31" s="101"/>
      <c r="N31" s="101"/>
      <c r="O31" s="111"/>
    </row>
    <row r="32" spans="1:15" x14ac:dyDescent="0.35">
      <c r="A32" s="98"/>
      <c r="B32" s="111"/>
      <c r="C32" s="112"/>
      <c r="D32" s="101"/>
      <c r="E32" s="101"/>
      <c r="F32" s="101"/>
      <c r="G32" s="101"/>
      <c r="H32" s="98"/>
      <c r="I32" s="101"/>
      <c r="J32" s="101"/>
      <c r="K32" s="111"/>
      <c r="L32" s="98"/>
      <c r="M32" s="101"/>
      <c r="N32" s="101"/>
      <c r="O32" s="111"/>
    </row>
    <row r="33" spans="1:15" x14ac:dyDescent="0.35">
      <c r="A33" s="98"/>
      <c r="B33" s="111"/>
      <c r="C33" s="112"/>
      <c r="D33" s="101"/>
      <c r="E33" s="101"/>
      <c r="F33" s="101"/>
      <c r="G33" s="101"/>
      <c r="H33" s="98"/>
      <c r="I33" s="101"/>
      <c r="J33" s="101"/>
      <c r="K33" s="111"/>
      <c r="L33" s="98"/>
      <c r="M33" s="101"/>
      <c r="N33" s="101"/>
      <c r="O33" s="111"/>
    </row>
    <row r="34" spans="1:15" x14ac:dyDescent="0.35">
      <c r="A34" s="98"/>
      <c r="B34" s="111"/>
      <c r="C34" s="112"/>
      <c r="D34" s="101"/>
      <c r="E34" s="101"/>
      <c r="F34" s="101"/>
      <c r="G34" s="101"/>
      <c r="H34" s="98"/>
      <c r="I34" s="101"/>
      <c r="J34" s="101"/>
      <c r="K34" s="111"/>
      <c r="L34" s="98"/>
      <c r="M34" s="101"/>
      <c r="N34" s="101"/>
      <c r="O34" s="111"/>
    </row>
    <row r="35" spans="1:15" x14ac:dyDescent="0.35">
      <c r="A35" s="98"/>
      <c r="B35" s="111"/>
      <c r="C35" s="112"/>
      <c r="D35" s="101"/>
      <c r="E35" s="101"/>
      <c r="F35" s="101"/>
      <c r="G35" s="101"/>
      <c r="H35" s="98"/>
      <c r="I35" s="101"/>
      <c r="J35" s="101"/>
      <c r="K35" s="111"/>
      <c r="L35" s="98"/>
      <c r="M35" s="101"/>
      <c r="N35" s="101"/>
      <c r="O35" s="111"/>
    </row>
    <row r="36" spans="1:15" x14ac:dyDescent="0.35">
      <c r="A36" s="98"/>
      <c r="B36" s="111"/>
      <c r="C36" s="112"/>
      <c r="D36" s="101"/>
      <c r="E36" s="101"/>
      <c r="F36" s="101"/>
      <c r="G36" s="101"/>
      <c r="H36" s="98"/>
      <c r="I36" s="101"/>
      <c r="J36" s="101"/>
      <c r="K36" s="111"/>
      <c r="L36" s="98"/>
      <c r="M36" s="101"/>
      <c r="N36" s="101"/>
      <c r="O36" s="111"/>
    </row>
    <row r="37" spans="1:15" x14ac:dyDescent="0.35">
      <c r="A37" s="98"/>
      <c r="B37" s="111"/>
      <c r="C37" s="112"/>
      <c r="D37" s="101"/>
      <c r="E37" s="101"/>
      <c r="F37" s="101"/>
      <c r="G37" s="101"/>
      <c r="H37" s="98"/>
      <c r="I37" s="101"/>
      <c r="J37" s="101"/>
      <c r="K37" s="111"/>
      <c r="L37" s="98"/>
      <c r="M37" s="101"/>
      <c r="N37" s="101"/>
      <c r="O37" s="111"/>
    </row>
    <row r="38" spans="1:15" x14ac:dyDescent="0.35">
      <c r="A38" s="98"/>
      <c r="B38" s="111"/>
      <c r="C38" s="112"/>
      <c r="D38" s="101"/>
      <c r="E38" s="101"/>
      <c r="F38" s="101"/>
      <c r="G38" s="101"/>
      <c r="H38" s="98"/>
      <c r="I38" s="101"/>
      <c r="J38" s="101"/>
      <c r="K38" s="111"/>
      <c r="L38" s="98"/>
      <c r="M38" s="101"/>
      <c r="N38" s="101"/>
      <c r="O38" s="11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ED001-D984-4063-8C99-8C064746AF73}">
  <sheetPr>
    <tabColor theme="9" tint="0.79998168889431442"/>
  </sheetPr>
  <dimension ref="A1:K3"/>
  <sheetViews>
    <sheetView workbookViewId="0">
      <pane xSplit="1" ySplit="1" topLeftCell="B2" activePane="bottomRight" state="frozen"/>
      <selection pane="topRight" activeCell="B1" sqref="B1"/>
      <selection pane="bottomLeft" activeCell="A2" sqref="A2"/>
      <selection pane="bottomRight"/>
    </sheetView>
  </sheetViews>
  <sheetFormatPr defaultRowHeight="14.5" x14ac:dyDescent="0.35"/>
  <cols>
    <col min="1" max="1" width="13.54296875" customWidth="1"/>
    <col min="2" max="2" width="22.1796875" customWidth="1"/>
    <col min="3" max="3" width="19.54296875" customWidth="1"/>
    <col min="4" max="4" width="18" customWidth="1"/>
    <col min="5" max="5" width="20.6328125" customWidth="1"/>
    <col min="6" max="6" width="18.6328125" customWidth="1"/>
    <col min="7" max="7" width="22.1796875" customWidth="1"/>
    <col min="8" max="8" width="20.08984375" customWidth="1"/>
    <col min="9" max="9" width="18.453125" customWidth="1"/>
    <col min="10" max="10" width="20.6328125" customWidth="1"/>
    <col min="11" max="11" width="18.6328125" customWidth="1"/>
  </cols>
  <sheetData>
    <row r="1" spans="1:11" s="42" customFormat="1" ht="40" customHeight="1" x14ac:dyDescent="0.35">
      <c r="A1" s="104" t="s">
        <v>139</v>
      </c>
      <c r="B1" s="99" t="s">
        <v>140</v>
      </c>
      <c r="C1" s="99" t="s">
        <v>141</v>
      </c>
      <c r="D1" s="99" t="s">
        <v>142</v>
      </c>
      <c r="E1" s="99" t="s">
        <v>143</v>
      </c>
      <c r="F1" s="99" t="s">
        <v>144</v>
      </c>
      <c r="G1" s="99" t="s">
        <v>145</v>
      </c>
      <c r="H1" s="99" t="s">
        <v>146</v>
      </c>
      <c r="I1" s="99" t="s">
        <v>147</v>
      </c>
      <c r="J1" s="99" t="s">
        <v>148</v>
      </c>
      <c r="K1" s="99" t="s">
        <v>149</v>
      </c>
    </row>
    <row r="2" spans="1:11" x14ac:dyDescent="0.35">
      <c r="A2" s="108" t="s">
        <v>20</v>
      </c>
      <c r="B2" s="101" cm="1">
        <f t="array" ref="B2">IF($A2="lower",_xlfn.PERCENTILE.INC(IF(ISNUMBER(S6A_cohort_data!D:D),S6A_cohort_data!D:D),percentiles!$C$2),_xlfn.PERCENTILE.INC(IF(ISNUMBER(S6A_cohort_data!D:D),S6A_cohort_data!D:D),percentiles!$C$3))</f>
        <v>1.4046796859916357E-2</v>
      </c>
      <c r="C2" s="101" cm="1">
        <f t="array" ref="C2">IF($A2="lower",_xlfn.PERCENTILE.INC(IF(ISNUMBER(S6A_cohort_data!E:E),S6A_cohort_data!E:E),percentiles!$C$2),_xlfn.PERCENTILE.INC(IF(ISNUMBER(S6A_cohort_data!E:E),S6A_cohort_data!E:E),percentiles!$C$3))</f>
        <v>1.2159681442594838E-2</v>
      </c>
      <c r="D2" s="101" cm="1">
        <f t="array" ref="D2">IF($A2="lower",_xlfn.PERCENTILE.INC(IF(ISNUMBER(S6A_cohort_data!F:F),S6A_cohort_data!F:F),percentiles!$C$2),_xlfn.PERCENTILE.INC(IF(ISNUMBER(S6A_cohort_data!F:F),S6A_cohort_data!F:F),percentiles!$C$3))</f>
        <v>1.6988159696916291E-2</v>
      </c>
      <c r="E2" s="101">
        <f>_xlfn.XLOOKUP($A2,S6B_num_weighting!$K:$K,S6B_num_weighting!$F:$F)</f>
        <v>1.2024540598744979E-2</v>
      </c>
      <c r="F2" s="101">
        <f>IF($A2="lower",MAX(B2:E2),MIN(B2:E2))</f>
        <v>1.6988159696916291E-2</v>
      </c>
      <c r="G2" s="101" cm="1">
        <f t="array" ref="G2">IF($A2="lower",_xlfn.PERCENTILE.INC(IF(ISNUMBER(S6A_cohort_data!G:G),S6A_cohort_data!G:G),percentiles!$C$2),_xlfn.PERCENTILE.INC(IF(ISNUMBER(S6A_cohort_data!G:G),S6A_cohort_data!G:G),percentiles!$C$3))</f>
        <v>1.6570098063533031E-2</v>
      </c>
      <c r="H2" s="101" cm="1">
        <f t="array" ref="H2">IF($A2="lower",_xlfn.PERCENTILE.INC(IF(ISNUMBER(S6A_cohort_data!H:H),S6A_cohort_data!H:H),percentiles!$C$2),_xlfn.PERCENTILE.INC(IF(ISNUMBER(S6A_cohort_data!H:H),S6A_cohort_data!H:H),percentiles!$C$3))</f>
        <v>1.7568611634245359E-2</v>
      </c>
      <c r="I2" s="101" cm="1">
        <f t="array" ref="I2">IF($A2="lower",_xlfn.PERCENTILE.INC(IF(ISNUMBER(S6A_cohort_data!I:I),S6A_cohort_data!I:I),percentiles!$C$2),_xlfn.PERCENTILE.INC(IF(ISNUMBER(S6A_cohort_data!I:I),S6A_cohort_data!I:I),percentiles!$C$3))</f>
        <v>1.8876465754141123E-2</v>
      </c>
      <c r="J2" s="101">
        <f>_xlfn.XLOOKUP($A2,S6B_num_weighting!O:O,S6B_num_weighting!G:G)</f>
        <v>1.5424927914741687E-2</v>
      </c>
      <c r="K2" s="101">
        <f>IF($A2="lower",MAX(G2:J2),MIN(G2:J2))</f>
        <v>1.8876465754141123E-2</v>
      </c>
    </row>
    <row r="3" spans="1:11" x14ac:dyDescent="0.35">
      <c r="A3" s="108" t="s">
        <v>21</v>
      </c>
      <c r="B3" s="101" cm="1">
        <f t="array" ref="B3">IF($A3="lower",_xlfn.PERCENTILE.INC(IF(ISNUMBER(S6A_cohort_data!D:D),S6A_cohort_data!D:D),percentiles!$C$2),_xlfn.PERCENTILE.INC(IF(ISNUMBER(S6A_cohort_data!D:D),S6A_cohort_data!D:D),percentiles!$C$3))</f>
        <v>2.6672063165947398E-2</v>
      </c>
      <c r="C3" s="101" cm="1">
        <f t="array" ref="C3">IF($A3="lower",_xlfn.PERCENTILE.INC(IF(ISNUMBER(S6A_cohort_data!E:E),S6A_cohort_data!E:E),percentiles!$C$2),_xlfn.PERCENTILE.INC(IF(ISNUMBER(S6A_cohort_data!E:E),S6A_cohort_data!E:E),percentiles!$C$3))</f>
        <v>2.3955278353265472E-2</v>
      </c>
      <c r="D3" s="101" cm="1">
        <f t="array" ref="D3">IF($A3="lower",_xlfn.PERCENTILE.INC(IF(ISNUMBER(S6A_cohort_data!F:F),S6A_cohort_data!F:F),percentiles!$C$2),_xlfn.PERCENTILE.INC(IF(ISNUMBER(S6A_cohort_data!F:F),S6A_cohort_data!F:F),percentiles!$C$3))</f>
        <v>2.7162218845917581E-2</v>
      </c>
      <c r="E3" s="101">
        <f>_xlfn.XLOOKUP($A3,S6B_num_weighting!$K:$K,S6B_num_weighting!$F:$F)</f>
        <v>2.5482807214083011E-2</v>
      </c>
      <c r="F3" s="101">
        <f>IF($A3="lower",MAX(B3:E3),MIN(B3:E3))</f>
        <v>2.3955278353265472E-2</v>
      </c>
      <c r="G3" s="101" cm="1">
        <f t="array" ref="G3">IF($A3="lower",_xlfn.PERCENTILE.INC(IF(ISNUMBER(S6A_cohort_data!G:G),S6A_cohort_data!G:G),percentiles!$C$2),_xlfn.PERCENTILE.INC(IF(ISNUMBER(S6A_cohort_data!G:G),S6A_cohort_data!G:G),percentiles!$C$3))</f>
        <v>2.7944712675086039E-2</v>
      </c>
      <c r="H3" s="101" cm="1">
        <f t="array" ref="H3">IF($A3="lower",_xlfn.PERCENTILE.INC(IF(ISNUMBER(S6A_cohort_data!H:H),S6A_cohort_data!H:H),percentiles!$C$2),_xlfn.PERCENTILE.INC(IF(ISNUMBER(S6A_cohort_data!H:H),S6A_cohort_data!H:H),percentiles!$C$3))</f>
        <v>2.6631810885304759E-2</v>
      </c>
      <c r="I3" s="101" cm="1">
        <f t="array" ref="I3">IF($A3="lower",_xlfn.PERCENTILE.INC(IF(ISNUMBER(S6A_cohort_data!I:I),S6A_cohort_data!I:I),percentiles!$C$2),_xlfn.PERCENTILE.INC(IF(ISNUMBER(S6A_cohort_data!I:I),S6A_cohort_data!I:I),percentiles!$C$3))</f>
        <v>2.8051836042635933E-2</v>
      </c>
      <c r="J3" s="101">
        <f>_xlfn.XLOOKUP($A3,S6B_num_weighting!O:O,S6B_num_weighting!G:G)</f>
        <v>2.7897452365872853E-2</v>
      </c>
      <c r="K3" s="101">
        <f>IF($A3="lower",MAX(G3:J3),MIN(G3:J3))</f>
        <v>2.6631810885304759E-2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FD09B-48BA-4D60-A3CC-CAD9C61BE08F}">
  <sheetPr>
    <tabColor theme="9" tint="0.79998168889431442"/>
  </sheetPr>
  <dimension ref="A1:H5"/>
  <sheetViews>
    <sheetView workbookViewId="0">
      <pane xSplit="2" ySplit="1" topLeftCell="C2" activePane="bottomRight" state="frozen"/>
      <selection pane="topRight" activeCell="C1" sqref="C1"/>
      <selection pane="bottomLeft" activeCell="A2" sqref="A2"/>
      <selection pane="bottomRight" activeCell="G3" sqref="G3"/>
    </sheetView>
  </sheetViews>
  <sheetFormatPr defaultRowHeight="14.5" x14ac:dyDescent="0.35"/>
  <cols>
    <col min="1" max="1" width="15.90625" customWidth="1"/>
    <col min="2" max="2" width="11.6328125" customWidth="1"/>
    <col min="3" max="3" width="13.6328125" customWidth="1"/>
    <col min="4" max="4" width="24.36328125" customWidth="1"/>
    <col min="5" max="6" width="19.6328125" customWidth="1"/>
    <col min="7" max="8" width="23.6328125" customWidth="1"/>
  </cols>
  <sheetData>
    <row r="1" spans="1:8" ht="40" customHeight="1" x14ac:dyDescent="0.35">
      <c r="A1" s="113" t="s">
        <v>16</v>
      </c>
      <c r="B1" s="104" t="s">
        <v>139</v>
      </c>
      <c r="C1" s="99" t="s">
        <v>150</v>
      </c>
      <c r="D1" s="99" t="s">
        <v>151</v>
      </c>
      <c r="E1" s="99" t="s">
        <v>152</v>
      </c>
      <c r="F1" s="99" t="s">
        <v>153</v>
      </c>
      <c r="G1" s="99" t="s">
        <v>154</v>
      </c>
      <c r="H1" s="99" t="s">
        <v>155</v>
      </c>
    </row>
    <row r="2" spans="1:8" x14ac:dyDescent="0.35">
      <c r="A2" s="98" t="s">
        <v>19</v>
      </c>
      <c r="B2" s="98" t="s">
        <v>20</v>
      </c>
      <c r="C2" s="114">
        <v>47831</v>
      </c>
      <c r="D2" s="117">
        <v>0.99033179870586585</v>
      </c>
      <c r="E2" s="101">
        <f>_xlfn.XLOOKUP($B2,S6C_intersection!A:A,S6C_intersection!F:F)</f>
        <v>1.6988159696916291E-2</v>
      </c>
      <c r="F2" s="101">
        <f>_xlfn.XLOOKUP($B2,S6C_intersection!A:A,S6C_intersection!K:K)</f>
        <v>1.8876465754141123E-2</v>
      </c>
      <c r="G2" s="101">
        <f t="shared" ref="G2:H3" si="0">E2*$D2</f>
        <v>1.6823914749349609E-2</v>
      </c>
      <c r="H2" s="101">
        <f t="shared" si="0"/>
        <v>1.8693964283508255E-2</v>
      </c>
    </row>
    <row r="3" spans="1:8" x14ac:dyDescent="0.35">
      <c r="A3" s="98" t="s">
        <v>19</v>
      </c>
      <c r="B3" s="98" t="s">
        <v>21</v>
      </c>
      <c r="C3" s="114">
        <v>47831</v>
      </c>
      <c r="D3" s="117">
        <v>0.99033179870586585</v>
      </c>
      <c r="E3" s="101">
        <f>_xlfn.XLOOKUP($B3,S6C_intersection!A:A,S6C_intersection!F:F)</f>
        <v>2.3955278353265472E-2</v>
      </c>
      <c r="F3" s="101">
        <f>_xlfn.XLOOKUP($B3,S6C_intersection!A:A,S6C_intersection!K:K)</f>
        <v>2.6631810885304759E-2</v>
      </c>
      <c r="G3" s="101">
        <f t="shared" si="0"/>
        <v>2.3723673900089087E-2</v>
      </c>
      <c r="H3" s="101">
        <f t="shared" si="0"/>
        <v>2.637432917683832E-2</v>
      </c>
    </row>
    <row r="4" spans="1:8" x14ac:dyDescent="0.35">
      <c r="A4" s="98"/>
      <c r="B4" s="98"/>
      <c r="C4" s="114"/>
      <c r="D4" s="115"/>
      <c r="E4" s="101"/>
      <c r="F4" s="101"/>
      <c r="G4" s="101"/>
      <c r="H4" s="101"/>
    </row>
    <row r="5" spans="1:8" x14ac:dyDescent="0.35">
      <c r="A5" s="98"/>
      <c r="B5" s="98"/>
      <c r="C5" s="114"/>
      <c r="D5" s="115"/>
      <c r="E5" s="101"/>
      <c r="F5" s="101"/>
      <c r="G5" s="101"/>
      <c r="H5" s="101"/>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79AC50-14F9-4397-8BF4-FB71E1937619}">
  <sheetPr>
    <tabColor theme="9" tint="0.79998168889431442"/>
  </sheetPr>
  <dimension ref="A1:I3"/>
  <sheetViews>
    <sheetView workbookViewId="0">
      <pane xSplit="2" ySplit="1" topLeftCell="C2" activePane="bottomRight" state="frozen"/>
      <selection pane="topRight" activeCell="C1" sqref="C1"/>
      <selection pane="bottomLeft" activeCell="A2" sqref="A2"/>
      <selection pane="bottomRight"/>
    </sheetView>
  </sheetViews>
  <sheetFormatPr defaultRowHeight="14.5" x14ac:dyDescent="0.35"/>
  <cols>
    <col min="1" max="1" width="15.90625" style="59" customWidth="1"/>
    <col min="2" max="2" width="11.6328125" style="34" customWidth="1"/>
    <col min="3" max="3" width="13.54296875" style="61" customWidth="1"/>
    <col min="4" max="4" width="18.1796875" style="61" customWidth="1"/>
    <col min="5" max="5" width="14.54296875" style="61" customWidth="1"/>
    <col min="6" max="6" width="16.7265625" customWidth="1"/>
    <col min="7" max="7" width="16.6328125" customWidth="1"/>
    <col min="8" max="8" width="20.6328125" customWidth="1"/>
    <col min="9" max="9" width="20.36328125" customWidth="1"/>
  </cols>
  <sheetData>
    <row r="1" spans="1:9" ht="40" customHeight="1" x14ac:dyDescent="0.35">
      <c r="A1" s="54" t="s">
        <v>16</v>
      </c>
      <c r="B1" s="45" t="s">
        <v>139</v>
      </c>
      <c r="C1" s="46" t="s">
        <v>150</v>
      </c>
      <c r="D1" s="46" t="s">
        <v>34</v>
      </c>
      <c r="E1" s="46" t="s">
        <v>103</v>
      </c>
      <c r="F1" s="46" t="s">
        <v>154</v>
      </c>
      <c r="G1" s="46" t="s">
        <v>155</v>
      </c>
      <c r="H1" s="46" t="s">
        <v>156</v>
      </c>
      <c r="I1" s="46" t="s">
        <v>157</v>
      </c>
    </row>
    <row r="2" spans="1:9" x14ac:dyDescent="0.35">
      <c r="A2" s="59" t="s">
        <v>19</v>
      </c>
      <c r="B2" s="50" t="s">
        <v>20</v>
      </c>
      <c r="C2" s="60">
        <v>47831</v>
      </c>
      <c r="D2" s="60">
        <v>52614</v>
      </c>
      <c r="E2" s="62">
        <f>D2-C2+1</f>
        <v>4784</v>
      </c>
      <c r="F2" s="55">
        <v>1.6823914749349609E-2</v>
      </c>
      <c r="G2" s="55">
        <v>1.8693964283508255E-2</v>
      </c>
      <c r="H2" s="55">
        <f>F2*((1-(1/(1+discount_rate!$C$3))^($E2))/(1-(1/(1+discount_rate!$C$3))^365))</f>
        <v>0.14109956765214995</v>
      </c>
      <c r="I2" s="55">
        <f>G2*((1-(1/(1+discount_rate!$C$3))^($E2))/(1-(1/(1+discount_rate!$C$3))^365))</f>
        <v>0.15678338349935578</v>
      </c>
    </row>
    <row r="3" spans="1:9" x14ac:dyDescent="0.35">
      <c r="A3" s="59" t="s">
        <v>19</v>
      </c>
      <c r="B3" s="50" t="s">
        <v>21</v>
      </c>
      <c r="C3" s="60">
        <v>47831</v>
      </c>
      <c r="D3" s="60">
        <v>52614</v>
      </c>
      <c r="E3" s="62">
        <f>D3-C3+1</f>
        <v>4784</v>
      </c>
      <c r="F3" s="55">
        <v>2.3723673900089087E-2</v>
      </c>
      <c r="G3" s="55">
        <v>2.637432917683832E-2</v>
      </c>
      <c r="H3" s="55">
        <f>F3*((1-(1/(1+discount_rate!$C$3))^($E3))/(1-(1/(1+discount_rate!$C$3))^365))</f>
        <v>0.19896677915302502</v>
      </c>
      <c r="I3" s="55">
        <f>G3*((1-(1/(1+discount_rate!$C$3))^($E3))/(1-(1/(1+discount_rate!$C$3))^365))</f>
        <v>0.22119741447876962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E0238C-FA90-4E5B-A846-4119B891BF71}">
  <sheetPr>
    <tabColor theme="9" tint="0.79998168889431442"/>
  </sheetPr>
  <dimension ref="A1:E5"/>
  <sheetViews>
    <sheetView workbookViewId="0">
      <pane xSplit="2" ySplit="1" topLeftCell="C2" activePane="bottomRight" state="frozen"/>
      <selection pane="topRight" activeCell="C1" sqref="C1"/>
      <selection pane="bottomLeft" activeCell="A2" sqref="A2"/>
      <selection pane="bottomRight" activeCell="D1" sqref="D1"/>
    </sheetView>
  </sheetViews>
  <sheetFormatPr defaultRowHeight="14.5" x14ac:dyDescent="0.35"/>
  <cols>
    <col min="1" max="1" width="15.90625" style="98" customWidth="1"/>
    <col min="2" max="2" width="11.6328125" style="98" customWidth="1"/>
    <col min="3" max="3" width="20.7265625" style="98" customWidth="1"/>
    <col min="4" max="4" width="20.81640625" style="98" customWidth="1"/>
    <col min="5" max="5" width="22.08984375" style="98" customWidth="1"/>
  </cols>
  <sheetData>
    <row r="1" spans="1:5" ht="40" customHeight="1" x14ac:dyDescent="0.35">
      <c r="A1" s="113" t="s">
        <v>16</v>
      </c>
      <c r="B1" s="104" t="s">
        <v>139</v>
      </c>
      <c r="C1" s="99" t="s">
        <v>156</v>
      </c>
      <c r="D1" s="99" t="s">
        <v>157</v>
      </c>
      <c r="E1" s="116" t="s">
        <v>158</v>
      </c>
    </row>
    <row r="2" spans="1:5" x14ac:dyDescent="0.35">
      <c r="A2" s="98" t="s">
        <v>19</v>
      </c>
      <c r="B2" s="98" t="s">
        <v>20</v>
      </c>
      <c r="C2" s="101">
        <v>0.14109956765214995</v>
      </c>
      <c r="D2" s="101">
        <v>0.15678338349935578</v>
      </c>
      <c r="E2" s="101">
        <f>IF(B2="lower",MAX($C2:$D2),MIN($C2:$D2))</f>
        <v>0.15678338349935578</v>
      </c>
    </row>
    <row r="3" spans="1:5" x14ac:dyDescent="0.35">
      <c r="A3" s="98" t="s">
        <v>19</v>
      </c>
      <c r="B3" s="98" t="s">
        <v>21</v>
      </c>
      <c r="C3" s="101">
        <v>0.19896677915302502</v>
      </c>
      <c r="D3" s="101">
        <v>0.22119741447876962</v>
      </c>
      <c r="E3" s="101">
        <f>IF(B3="lower",MAX($C3:$D3),MIN($C3:$D3))</f>
        <v>0.19896677915302502</v>
      </c>
    </row>
    <row r="4" spans="1:5" x14ac:dyDescent="0.35">
      <c r="C4" s="101"/>
      <c r="D4" s="101"/>
      <c r="E4" s="101"/>
    </row>
    <row r="5" spans="1:5" x14ac:dyDescent="0.35">
      <c r="C5" s="101"/>
      <c r="D5" s="101"/>
      <c r="E5" s="101"/>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DCE4F-2EEE-470D-A235-469E1A7A30D8}">
  <dimension ref="A1:AB77"/>
  <sheetViews>
    <sheetView workbookViewId="0"/>
  </sheetViews>
  <sheetFormatPr defaultRowHeight="14.5" x14ac:dyDescent="0.35"/>
  <cols>
    <col min="1" max="1" width="24.453125" style="12" customWidth="1"/>
    <col min="2" max="2" width="22.453125" style="13" customWidth="1"/>
    <col min="3" max="3" width="9.1796875" style="13" customWidth="1"/>
    <col min="4" max="4" width="27.54296875" style="13" bestFit="1" customWidth="1"/>
    <col min="5" max="5" width="10" style="13" customWidth="1"/>
    <col min="6" max="6" width="9.1796875" style="13" customWidth="1"/>
    <col min="7" max="7" width="14.54296875" style="13" customWidth="1"/>
    <col min="8" max="9" width="14.26953125" style="13" customWidth="1"/>
    <col min="10" max="10" width="13.54296875" style="13" customWidth="1"/>
    <col min="11" max="11" width="11.7265625" style="13" customWidth="1"/>
    <col min="12" max="12" width="10.453125" style="13" customWidth="1"/>
    <col min="13" max="13" width="12.1796875" style="13" customWidth="1"/>
    <col min="14" max="14" width="16.1796875" style="13" customWidth="1"/>
    <col min="15" max="15" width="15.81640625" style="13" customWidth="1"/>
    <col min="16" max="16" width="10.7265625" style="4" customWidth="1"/>
    <col min="17" max="17" width="9.54296875" style="4" bestFit="1" customWidth="1"/>
    <col min="18" max="18" width="10.453125" style="4" customWidth="1"/>
    <col min="19" max="21" width="8.7265625" style="4"/>
    <col min="22" max="22" width="9.1796875" style="4" bestFit="1"/>
    <col min="23" max="26" width="8.7265625" style="4"/>
  </cols>
  <sheetData>
    <row r="1" spans="1:28" s="2" customFormat="1" ht="52" x14ac:dyDescent="0.35">
      <c r="A1" s="5" t="s">
        <v>159</v>
      </c>
      <c r="B1" s="6" t="s">
        <v>160</v>
      </c>
      <c r="C1" s="6" t="s">
        <v>161</v>
      </c>
      <c r="D1" s="6" t="s">
        <v>162</v>
      </c>
      <c r="E1" s="6" t="s">
        <v>163</v>
      </c>
      <c r="F1" s="6" t="s">
        <v>164</v>
      </c>
      <c r="G1" s="6" t="s">
        <v>165</v>
      </c>
      <c r="H1" s="6" t="s">
        <v>166</v>
      </c>
      <c r="I1" s="6" t="s">
        <v>167</v>
      </c>
      <c r="J1" s="6" t="s">
        <v>168</v>
      </c>
      <c r="K1" s="6" t="s">
        <v>169</v>
      </c>
      <c r="L1" s="6" t="s">
        <v>170</v>
      </c>
      <c r="M1" s="6" t="s">
        <v>171</v>
      </c>
      <c r="N1" s="6" t="s">
        <v>172</v>
      </c>
      <c r="O1" s="6" t="s">
        <v>173</v>
      </c>
      <c r="P1" s="7"/>
      <c r="Q1" s="7"/>
      <c r="R1" s="7"/>
      <c r="S1" s="7"/>
      <c r="T1" s="7"/>
      <c r="U1" s="7"/>
      <c r="V1" s="7"/>
      <c r="W1" s="7"/>
      <c r="X1" s="7"/>
      <c r="Y1" s="7"/>
      <c r="Z1" s="7"/>
    </row>
    <row r="2" spans="1:28" x14ac:dyDescent="0.35">
      <c r="A2" s="12" t="e" cm="1">
        <f t="array" ref="A2">_xlfn._xlws.FILTER('[1]Step DB1 - Benchmarks'!$B:$C,('[1]Step DB1 - Benchmarks'!$D:$D=Introduction!#REF!) * ('[1]Step DB1 - Benchmarks'!$N:$N&lt;&gt;"-") * ('[1]Step DB1 - Benchmarks'!$K:$K&lt;&gt;"-"))</f>
        <v>#REF!</v>
      </c>
      <c r="B2" s="8"/>
      <c r="C2" s="15" t="e" cm="1">
        <f t="array" ref="C2">_xlfn._xlws.FILTER('[1]Step DB1 - Benchmarks'!$A:$A,('[1]Step DB1 - Benchmarks'!$D:$D=Introduction!#REF!) * ('[1]Step DB1 - Benchmarks'!$N:$N&lt;&gt;"-") * ('[1]Step DB1 - Benchmarks'!$K:$K&lt;&gt;"-"))</f>
        <v>#REF!</v>
      </c>
      <c r="D2" s="16" t="e" cm="1">
        <f t="array" ref="D2">_xlfn._xlws.FILTER('[1]Step DB1 - Benchmarks'!$F:$F,('[1]Step DB1 - Benchmarks'!$D:$D=Introduction!#REF!) * ('[1]Step DB1 - Benchmarks'!$N:$N&lt;&gt;"-") * ('[1]Step DB1 - Benchmarks'!$K:$K&lt;&gt;"-"))</f>
        <v>#REF!</v>
      </c>
      <c r="E2" s="21" t="e" cm="1">
        <f t="array" ref="E2">_xlfn._xlws.FILTER('[1]Step DB1 - Benchmarks'!$K:$L,('[1]Step DB1 - Benchmarks'!$D:$D=Introduction!#REF!) * ('[1]Step DB1 - Benchmarks'!$N:$N&lt;&gt;"-") * ('[1]Step DB1 - Benchmarks'!$K:$K&lt;&gt;"-"))</f>
        <v>#REF!</v>
      </c>
      <c r="F2" s="8"/>
      <c r="G2" s="9" t="e" cm="1">
        <f t="array" ref="G2">_xlfn._xlws.FILTER('[1]Step DB1 - Benchmarks'!$N:$N,('[1]Step DB1 - Benchmarks'!$D:$D=Introduction!#REF!) * ('[1]Step DB1 - Benchmarks'!$N:$N&lt;&gt;"-") * ('[1]Step DB1 - Benchmarks'!$K:$K&lt;&gt;"-"))</f>
        <v>#REF!</v>
      </c>
      <c r="H2" s="9" t="e">
        <f t="shared" ref="H2:H33" si="0">IF(G2="","",IFERROR((G2)*((1-((1+Daily_Tilt)/(1+Daily_WACC))^365)/(1-((1+Daily_Tilt)/(1+Daily_WACC))^($F2))),"-"))</f>
        <v>#REF!</v>
      </c>
      <c r="I2" s="9" t="e" cm="1">
        <f t="array" ref="I2">_xlfn._xlws.FILTER('[1]Step DB1 - Benchmarks'!$Q:$R,('[1]Step DB1 - Benchmarks'!$D:$D=Introduction!#REF!) * ('[1]Step DB1 - Benchmarks'!$N:$N&lt;&gt;"-") * ('[1]Step DB1 - Benchmarks'!$K:$K&lt;&gt;"-"))</f>
        <v>#REF!</v>
      </c>
      <c r="J2" s="9"/>
      <c r="K2" s="10" t="e">
        <f>IF(G2="","",IFERROR($H2/I2,"-"))</f>
        <v>#REF!</v>
      </c>
      <c r="L2" s="10" t="e">
        <f>IF(G2="","",IFERROR($H2/J2,"-"))</f>
        <v>#REF!</v>
      </c>
      <c r="M2" s="9" t="str">
        <f>IFERROR(
IF(A2="","",
IF(MONTH(C2)&lt;7,_xlfn.XLOOKUP(YEAR($C2),'[1]MSR-MHz-pop (input) (trial)'!$B:$B,'[1]MSR-MHz-pop (input) (trial)'!$AM:$AM),_xlfn.XLOOKUP(YEAR($C2)+1,'[1]MSR-MHz-pop (input) (trial)'!$B:$B,'[1]MSR-MHz-pop (input) (trial)'!$AM:$AM))
),"")</f>
        <v/>
      </c>
      <c r="N2" s="10" t="e">
        <f>IF(G2="","",IFERROR(K2/$M2,"-"))</f>
        <v>#REF!</v>
      </c>
      <c r="O2" s="10" t="e">
        <f>IF(G2="","",IFERROR(L2/$M2,"-"))</f>
        <v>#REF!</v>
      </c>
    </row>
    <row r="3" spans="1:28" x14ac:dyDescent="0.35">
      <c r="B3" s="8"/>
      <c r="C3" s="15"/>
      <c r="D3" s="16"/>
      <c r="E3" s="21"/>
      <c r="F3" s="8"/>
      <c r="G3" s="9"/>
      <c r="H3" s="9" t="str">
        <f t="shared" si="0"/>
        <v/>
      </c>
      <c r="I3" s="9"/>
      <c r="J3" s="9"/>
      <c r="K3" s="10" t="str">
        <f t="shared" ref="K3:K50" si="1">IF(G3="","",IFERROR($H3/I3,"-"))</f>
        <v/>
      </c>
      <c r="L3" s="10" t="str">
        <f t="shared" ref="L3:L50" si="2">IF(G3="","",IFERROR($H3/J3,"-"))</f>
        <v/>
      </c>
      <c r="M3" s="9" t="str">
        <f>IFERROR(
IF(A3="","",
IF(MONTH(C3)&lt;7,_xlfn.XLOOKUP(YEAR($C3),'[1]MSR-MHz-pop (input) (trial)'!$B:$B,'[1]MSR-MHz-pop (input) (trial)'!$AM:$AM),_xlfn.XLOOKUP(YEAR($C3)+1,'[1]MSR-MHz-pop (input) (trial)'!$B:$B,'[1]MSR-MHz-pop (input) (trial)'!$AM:$AM))
),"")</f>
        <v/>
      </c>
      <c r="N3" s="10" t="str">
        <f t="shared" ref="N3:N50" si="3">IF(G3="","",IFERROR(K3/$M3,"-"))</f>
        <v/>
      </c>
      <c r="O3" s="10" t="str">
        <f t="shared" ref="O3:O50" si="4">IF(G3="","",IFERROR(L3/$M3,"-"))</f>
        <v/>
      </c>
      <c r="AB3" s="15"/>
    </row>
    <row r="4" spans="1:28" x14ac:dyDescent="0.35">
      <c r="B4" s="8"/>
      <c r="C4" s="15"/>
      <c r="D4" s="16"/>
      <c r="E4" s="21"/>
      <c r="F4" s="8"/>
      <c r="G4" s="9"/>
      <c r="H4" s="9" t="str">
        <f t="shared" si="0"/>
        <v/>
      </c>
      <c r="I4" s="9"/>
      <c r="J4" s="9"/>
      <c r="K4" s="10" t="str">
        <f t="shared" si="1"/>
        <v/>
      </c>
      <c r="L4" s="10" t="str">
        <f t="shared" si="2"/>
        <v/>
      </c>
      <c r="M4" s="9" t="str">
        <f>IFERROR(
IF(A4="","",
IF(MONTH(C4)&lt;7,_xlfn.XLOOKUP(YEAR($C4),'[1]MSR-MHz-pop (input) (trial)'!$B:$B,'[1]MSR-MHz-pop (input) (trial)'!$AM:$AM),_xlfn.XLOOKUP(YEAR($C4)+1,'[1]MSR-MHz-pop (input) (trial)'!$B:$B,'[1]MSR-MHz-pop (input) (trial)'!$AM:$AM))
),"")</f>
        <v/>
      </c>
      <c r="N4" s="10" t="str">
        <f t="shared" si="3"/>
        <v/>
      </c>
      <c r="O4" s="10" t="str">
        <f t="shared" si="4"/>
        <v/>
      </c>
      <c r="AB4" s="15"/>
    </row>
    <row r="5" spans="1:28" x14ac:dyDescent="0.35">
      <c r="B5" s="8"/>
      <c r="C5" s="15"/>
      <c r="D5" s="16"/>
      <c r="E5" s="21"/>
      <c r="F5" s="8"/>
      <c r="G5" s="9"/>
      <c r="H5" s="9" t="str">
        <f t="shared" si="0"/>
        <v/>
      </c>
      <c r="I5" s="9"/>
      <c r="J5" s="9"/>
      <c r="K5" s="10" t="str">
        <f t="shared" si="1"/>
        <v/>
      </c>
      <c r="L5" s="10" t="str">
        <f t="shared" si="2"/>
        <v/>
      </c>
      <c r="M5" s="9" t="str">
        <f>IFERROR(
IF(A5="","",
IF(MONTH(C5)&lt;7,_xlfn.XLOOKUP(YEAR($C5),'[1]MSR-MHz-pop (input) (trial)'!$B:$B,'[1]MSR-MHz-pop (input) (trial)'!$AM:$AM),_xlfn.XLOOKUP(YEAR($C5)+1,'[1]MSR-MHz-pop (input) (trial)'!$B:$B,'[1]MSR-MHz-pop (input) (trial)'!$AM:$AM))
),"")</f>
        <v/>
      </c>
      <c r="N5" s="10" t="str">
        <f t="shared" si="3"/>
        <v/>
      </c>
      <c r="O5" s="10" t="str">
        <f t="shared" si="4"/>
        <v/>
      </c>
      <c r="AB5" s="15"/>
    </row>
    <row r="6" spans="1:28" ht="15" customHeight="1" x14ac:dyDescent="0.35">
      <c r="B6" s="8"/>
      <c r="C6" s="15"/>
      <c r="D6" s="16"/>
      <c r="E6" s="21"/>
      <c r="F6" s="8"/>
      <c r="G6" s="9"/>
      <c r="H6" s="9" t="str">
        <f t="shared" si="0"/>
        <v/>
      </c>
      <c r="I6" s="9"/>
      <c r="J6" s="9"/>
      <c r="K6" s="10" t="str">
        <f t="shared" si="1"/>
        <v/>
      </c>
      <c r="L6" s="10" t="str">
        <f t="shared" si="2"/>
        <v/>
      </c>
      <c r="M6" s="9" t="str">
        <f>IFERROR(
IF(A6="","",
IF(MONTH(C6)&lt;7,_xlfn.XLOOKUP(YEAR($C6),'[1]MSR-MHz-pop (input) (trial)'!$B:$B,'[1]MSR-MHz-pop (input) (trial)'!$AM:$AM),_xlfn.XLOOKUP(YEAR($C6)+1,'[1]MSR-MHz-pop (input) (trial)'!$B:$B,'[1]MSR-MHz-pop (input) (trial)'!$AM:$AM))
),"")</f>
        <v/>
      </c>
      <c r="N6" s="10" t="str">
        <f t="shared" si="3"/>
        <v/>
      </c>
      <c r="O6" s="10" t="str">
        <f t="shared" si="4"/>
        <v/>
      </c>
      <c r="AB6" s="15"/>
    </row>
    <row r="7" spans="1:28" x14ac:dyDescent="0.35">
      <c r="B7" s="8"/>
      <c r="C7" s="15"/>
      <c r="D7" s="16"/>
      <c r="E7" s="21"/>
      <c r="F7" s="8"/>
      <c r="G7" s="9"/>
      <c r="H7" s="9" t="str">
        <f t="shared" si="0"/>
        <v/>
      </c>
      <c r="I7" s="9"/>
      <c r="J7" s="9"/>
      <c r="K7" s="10" t="str">
        <f t="shared" si="1"/>
        <v/>
      </c>
      <c r="L7" s="10" t="str">
        <f t="shared" si="2"/>
        <v/>
      </c>
      <c r="M7" s="9" t="str">
        <f>IFERROR(
IF(A7="","",
IF(MONTH(C7)&lt;7,_xlfn.XLOOKUP(YEAR($C7),'[1]MSR-MHz-pop (input) (trial)'!$B:$B,'[1]MSR-MHz-pop (input) (trial)'!$AM:$AM),_xlfn.XLOOKUP(YEAR($C7)+1,'[1]MSR-MHz-pop (input) (trial)'!$B:$B,'[1]MSR-MHz-pop (input) (trial)'!$AM:$AM))
),"")</f>
        <v/>
      </c>
      <c r="N7" s="10" t="str">
        <f t="shared" si="3"/>
        <v/>
      </c>
      <c r="O7" s="10" t="str">
        <f t="shared" si="4"/>
        <v/>
      </c>
      <c r="AB7" s="15"/>
    </row>
    <row r="8" spans="1:28" ht="15" customHeight="1" x14ac:dyDescent="0.35">
      <c r="B8" s="8"/>
      <c r="C8" s="15"/>
      <c r="D8" s="16"/>
      <c r="E8" s="21"/>
      <c r="F8" s="8"/>
      <c r="G8" s="9"/>
      <c r="H8" s="9" t="str">
        <f t="shared" si="0"/>
        <v/>
      </c>
      <c r="I8" s="9"/>
      <c r="J8" s="9"/>
      <c r="K8" s="10" t="str">
        <f t="shared" si="1"/>
        <v/>
      </c>
      <c r="L8" s="10" t="str">
        <f t="shared" si="2"/>
        <v/>
      </c>
      <c r="M8" s="9" t="str">
        <f>IFERROR(
IF(A8="","",
IF(MONTH(C8)&lt;7,_xlfn.XLOOKUP(YEAR($C8),'[1]MSR-MHz-pop (input) (trial)'!$B:$B,'[1]MSR-MHz-pop (input) (trial)'!$AM:$AM),_xlfn.XLOOKUP(YEAR($C8)+1,'[1]MSR-MHz-pop (input) (trial)'!$B:$B,'[1]MSR-MHz-pop (input) (trial)'!$AM:$AM))
),"")</f>
        <v/>
      </c>
      <c r="N8" s="10" t="str">
        <f t="shared" si="3"/>
        <v/>
      </c>
      <c r="O8" s="10" t="str">
        <f t="shared" si="4"/>
        <v/>
      </c>
      <c r="AB8" s="15"/>
    </row>
    <row r="9" spans="1:28" x14ac:dyDescent="0.35">
      <c r="B9" s="8"/>
      <c r="C9" s="15"/>
      <c r="D9" s="16"/>
      <c r="E9" s="21"/>
      <c r="F9" s="8"/>
      <c r="G9" s="9"/>
      <c r="H9" s="9" t="str">
        <f t="shared" si="0"/>
        <v/>
      </c>
      <c r="I9" s="9"/>
      <c r="J9" s="9"/>
      <c r="K9" s="10" t="str">
        <f t="shared" si="1"/>
        <v/>
      </c>
      <c r="L9" s="10" t="str">
        <f t="shared" si="2"/>
        <v/>
      </c>
      <c r="M9" s="9" t="str">
        <f>IFERROR(
IF(A9="","",
IF(MONTH(C9)&lt;7,_xlfn.XLOOKUP(YEAR($C9),'[1]MSR-MHz-pop (input) (trial)'!$B:$B,'[1]MSR-MHz-pop (input) (trial)'!$AM:$AM),_xlfn.XLOOKUP(YEAR($C9)+1,'[1]MSR-MHz-pop (input) (trial)'!$B:$B,'[1]MSR-MHz-pop (input) (trial)'!$AM:$AM))
),"")</f>
        <v/>
      </c>
      <c r="N9" s="10" t="str">
        <f t="shared" si="3"/>
        <v/>
      </c>
      <c r="O9" s="10" t="str">
        <f t="shared" si="4"/>
        <v/>
      </c>
      <c r="AB9" s="15"/>
    </row>
    <row r="10" spans="1:28" x14ac:dyDescent="0.35">
      <c r="B10" s="8"/>
      <c r="C10" s="15"/>
      <c r="D10" s="16"/>
      <c r="E10" s="21"/>
      <c r="F10" s="8"/>
      <c r="G10" s="9"/>
      <c r="H10" s="9" t="str">
        <f t="shared" si="0"/>
        <v/>
      </c>
      <c r="I10" s="9"/>
      <c r="J10" s="9"/>
      <c r="K10" s="10" t="str">
        <f t="shared" si="1"/>
        <v/>
      </c>
      <c r="L10" s="10" t="str">
        <f t="shared" si="2"/>
        <v/>
      </c>
      <c r="M10" s="9" t="str">
        <f>IFERROR(
IF(A10="","",
IF(MONTH(C10)&lt;7,_xlfn.XLOOKUP(YEAR($C10),'[1]MSR-MHz-pop (input) (trial)'!$B:$B,'[1]MSR-MHz-pop (input) (trial)'!$AM:$AM),_xlfn.XLOOKUP(YEAR($C10)+1,'[1]MSR-MHz-pop (input) (trial)'!$B:$B,'[1]MSR-MHz-pop (input) (trial)'!$AM:$AM))
),"")</f>
        <v/>
      </c>
      <c r="N10" s="10" t="str">
        <f t="shared" si="3"/>
        <v/>
      </c>
      <c r="O10" s="10" t="str">
        <f t="shared" si="4"/>
        <v/>
      </c>
      <c r="AB10" s="15"/>
    </row>
    <row r="11" spans="1:28" x14ac:dyDescent="0.35">
      <c r="B11" s="8"/>
      <c r="C11" s="15"/>
      <c r="D11" s="16"/>
      <c r="E11" s="21"/>
      <c r="F11" s="8"/>
      <c r="G11" s="9"/>
      <c r="H11" s="9" t="str">
        <f t="shared" si="0"/>
        <v/>
      </c>
      <c r="I11" s="9"/>
      <c r="J11" s="9"/>
      <c r="K11" s="10" t="str">
        <f t="shared" si="1"/>
        <v/>
      </c>
      <c r="L11" s="10" t="str">
        <f t="shared" si="2"/>
        <v/>
      </c>
      <c r="M11" s="9" t="str">
        <f>IFERROR(
IF(A11="","",
IF(MONTH(C11)&lt;7,_xlfn.XLOOKUP(YEAR($C11),'[1]MSR-MHz-pop (input) (trial)'!$B:$B,'[1]MSR-MHz-pop (input) (trial)'!$AM:$AM),_xlfn.XLOOKUP(YEAR($C11)+1,'[1]MSR-MHz-pop (input) (trial)'!$B:$B,'[1]MSR-MHz-pop (input) (trial)'!$AM:$AM))
),"")</f>
        <v/>
      </c>
      <c r="N11" s="10" t="str">
        <f t="shared" si="3"/>
        <v/>
      </c>
      <c r="O11" s="10" t="str">
        <f t="shared" si="4"/>
        <v/>
      </c>
      <c r="AB11" s="15"/>
    </row>
    <row r="12" spans="1:28" x14ac:dyDescent="0.35">
      <c r="B12" s="8"/>
      <c r="C12" s="15"/>
      <c r="D12" s="16"/>
      <c r="E12" s="21"/>
      <c r="F12" s="8"/>
      <c r="G12" s="9"/>
      <c r="H12" s="9" t="str">
        <f t="shared" si="0"/>
        <v/>
      </c>
      <c r="I12" s="9"/>
      <c r="J12" s="9"/>
      <c r="K12" s="10" t="str">
        <f t="shared" si="1"/>
        <v/>
      </c>
      <c r="L12" s="10" t="str">
        <f t="shared" si="2"/>
        <v/>
      </c>
      <c r="M12" s="9" t="str">
        <f>IFERROR(
IF(A12="","",
IF(MONTH(C12)&lt;7,_xlfn.XLOOKUP(YEAR($C12),'[1]MSR-MHz-pop (input) (trial)'!$B:$B,'[1]MSR-MHz-pop (input) (trial)'!$AM:$AM),_xlfn.XLOOKUP(YEAR($C12)+1,'[1]MSR-MHz-pop (input) (trial)'!$B:$B,'[1]MSR-MHz-pop (input) (trial)'!$AM:$AM))
),"")</f>
        <v/>
      </c>
      <c r="N12" s="10" t="str">
        <f t="shared" si="3"/>
        <v/>
      </c>
      <c r="O12" s="10" t="str">
        <f t="shared" si="4"/>
        <v/>
      </c>
      <c r="AB12" s="15"/>
    </row>
    <row r="13" spans="1:28" x14ac:dyDescent="0.35">
      <c r="B13" s="8"/>
      <c r="C13" s="15"/>
      <c r="D13" s="16"/>
      <c r="E13" s="21"/>
      <c r="F13" s="8"/>
      <c r="G13" s="9"/>
      <c r="H13" s="9" t="str">
        <f t="shared" si="0"/>
        <v/>
      </c>
      <c r="I13" s="9"/>
      <c r="J13" s="9"/>
      <c r="K13" s="10" t="str">
        <f t="shared" si="1"/>
        <v/>
      </c>
      <c r="L13" s="10" t="str">
        <f t="shared" si="2"/>
        <v/>
      </c>
      <c r="M13" s="9" t="str">
        <f>IFERROR(
IF(A13="","",
IF(MONTH(C13)&lt;7,_xlfn.XLOOKUP(YEAR($C13),'[1]MSR-MHz-pop (input) (trial)'!$B:$B,'[1]MSR-MHz-pop (input) (trial)'!$AM:$AM),_xlfn.XLOOKUP(YEAR($C13)+1,'[1]MSR-MHz-pop (input) (trial)'!$B:$B,'[1]MSR-MHz-pop (input) (trial)'!$AM:$AM))
),"")</f>
        <v/>
      </c>
      <c r="N13" s="10" t="str">
        <f t="shared" si="3"/>
        <v/>
      </c>
      <c r="O13" s="10" t="str">
        <f t="shared" si="4"/>
        <v/>
      </c>
      <c r="AB13" s="15"/>
    </row>
    <row r="14" spans="1:28" x14ac:dyDescent="0.35">
      <c r="B14" s="8"/>
      <c r="C14" s="15"/>
      <c r="D14" s="16"/>
      <c r="E14" s="21"/>
      <c r="F14" s="8"/>
      <c r="G14" s="9"/>
      <c r="H14" s="9" t="str">
        <f t="shared" si="0"/>
        <v/>
      </c>
      <c r="I14" s="9"/>
      <c r="J14" s="9"/>
      <c r="K14" s="10" t="str">
        <f t="shared" si="1"/>
        <v/>
      </c>
      <c r="L14" s="10" t="str">
        <f t="shared" si="2"/>
        <v/>
      </c>
      <c r="M14" s="9" t="str">
        <f>IFERROR(
IF(A14="","",
IF(MONTH(C14)&lt;7,_xlfn.XLOOKUP(YEAR($C14),'[1]MSR-MHz-pop (input) (trial)'!$B:$B,'[1]MSR-MHz-pop (input) (trial)'!$AM:$AM),_xlfn.XLOOKUP(YEAR($C14)+1,'[1]MSR-MHz-pop (input) (trial)'!$B:$B,'[1]MSR-MHz-pop (input) (trial)'!$AM:$AM))
),"")</f>
        <v/>
      </c>
      <c r="N14" s="10" t="str">
        <f t="shared" si="3"/>
        <v/>
      </c>
      <c r="O14" s="10" t="str">
        <f t="shared" si="4"/>
        <v/>
      </c>
      <c r="AB14" s="15"/>
    </row>
    <row r="15" spans="1:28" x14ac:dyDescent="0.35">
      <c r="B15" s="8"/>
      <c r="C15" s="15"/>
      <c r="D15" s="16"/>
      <c r="E15" s="21"/>
      <c r="F15" s="8"/>
      <c r="G15" s="9"/>
      <c r="H15" s="9" t="str">
        <f t="shared" si="0"/>
        <v/>
      </c>
      <c r="I15" s="9"/>
      <c r="J15" s="9"/>
      <c r="K15" s="10" t="str">
        <f t="shared" si="1"/>
        <v/>
      </c>
      <c r="L15" s="10" t="str">
        <f t="shared" si="2"/>
        <v/>
      </c>
      <c r="M15" s="9" t="str">
        <f>IFERROR(
IF(A15="","",
IF(MONTH(C15)&lt;7,_xlfn.XLOOKUP(YEAR($C15),'[1]MSR-MHz-pop (input) (trial)'!$B:$B,'[1]MSR-MHz-pop (input) (trial)'!$AM:$AM),_xlfn.XLOOKUP(YEAR($C15)+1,'[1]MSR-MHz-pop (input) (trial)'!$B:$B,'[1]MSR-MHz-pop (input) (trial)'!$AM:$AM))
),"")</f>
        <v/>
      </c>
      <c r="N15" s="10" t="str">
        <f t="shared" si="3"/>
        <v/>
      </c>
      <c r="O15" s="10" t="str">
        <f t="shared" si="4"/>
        <v/>
      </c>
      <c r="AB15" s="15"/>
    </row>
    <row r="16" spans="1:28" x14ac:dyDescent="0.35">
      <c r="B16" s="8"/>
      <c r="C16" s="15"/>
      <c r="D16" s="16"/>
      <c r="E16" s="21"/>
      <c r="F16" s="8"/>
      <c r="G16" s="9"/>
      <c r="H16" s="9" t="str">
        <f t="shared" si="0"/>
        <v/>
      </c>
      <c r="I16" s="9"/>
      <c r="J16" s="9"/>
      <c r="K16" s="10" t="str">
        <f t="shared" si="1"/>
        <v/>
      </c>
      <c r="L16" s="10" t="str">
        <f t="shared" si="2"/>
        <v/>
      </c>
      <c r="M16" s="9" t="str">
        <f>IFERROR(
IF(A16="","",
IF(MONTH(C16)&lt;7,_xlfn.XLOOKUP(YEAR($C16),'[1]MSR-MHz-pop (input) (trial)'!$B:$B,'[1]MSR-MHz-pop (input) (trial)'!$AM:$AM),_xlfn.XLOOKUP(YEAR($C16)+1,'[1]MSR-MHz-pop (input) (trial)'!$B:$B,'[1]MSR-MHz-pop (input) (trial)'!$AM:$AM))
),"")</f>
        <v/>
      </c>
      <c r="N16" s="10" t="str">
        <f t="shared" si="3"/>
        <v/>
      </c>
      <c r="O16" s="10" t="str">
        <f t="shared" si="4"/>
        <v/>
      </c>
      <c r="AB16" s="15"/>
    </row>
    <row r="17" spans="2:28" x14ac:dyDescent="0.35">
      <c r="B17" s="8"/>
      <c r="C17" s="15"/>
      <c r="D17" s="16"/>
      <c r="E17" s="21"/>
      <c r="F17" s="8"/>
      <c r="G17" s="9"/>
      <c r="H17" s="9" t="str">
        <f t="shared" si="0"/>
        <v/>
      </c>
      <c r="I17" s="9"/>
      <c r="J17" s="9"/>
      <c r="K17" s="10" t="str">
        <f t="shared" si="1"/>
        <v/>
      </c>
      <c r="L17" s="10" t="str">
        <f t="shared" si="2"/>
        <v/>
      </c>
      <c r="M17" s="9" t="str">
        <f>IFERROR(
IF(A17="","",
IF(MONTH(C17)&lt;7,_xlfn.XLOOKUP(YEAR($C17),'[1]MSR-MHz-pop (input) (trial)'!$B:$B,'[1]MSR-MHz-pop (input) (trial)'!$AM:$AM),_xlfn.XLOOKUP(YEAR($C17)+1,'[1]MSR-MHz-pop (input) (trial)'!$B:$B,'[1]MSR-MHz-pop (input) (trial)'!$AM:$AM))
),"")</f>
        <v/>
      </c>
      <c r="N17" s="10" t="str">
        <f t="shared" si="3"/>
        <v/>
      </c>
      <c r="O17" s="10" t="str">
        <f t="shared" si="4"/>
        <v/>
      </c>
      <c r="AB17" s="15"/>
    </row>
    <row r="18" spans="2:28" x14ac:dyDescent="0.35">
      <c r="B18" s="8"/>
      <c r="C18" s="15"/>
      <c r="D18" s="16"/>
      <c r="E18" s="21"/>
      <c r="F18" s="8"/>
      <c r="G18" s="9"/>
      <c r="H18" s="9" t="str">
        <f t="shared" si="0"/>
        <v/>
      </c>
      <c r="I18" s="9"/>
      <c r="J18" s="9"/>
      <c r="K18" s="10" t="str">
        <f t="shared" si="1"/>
        <v/>
      </c>
      <c r="L18" s="10" t="str">
        <f t="shared" si="2"/>
        <v/>
      </c>
      <c r="M18" s="9" t="str">
        <f>IFERROR(
IF(A18="","",
IF(MONTH(C18)&lt;7,_xlfn.XLOOKUP(YEAR($C18),'[1]MSR-MHz-pop (input) (trial)'!$B:$B,'[1]MSR-MHz-pop (input) (trial)'!$AM:$AM),_xlfn.XLOOKUP(YEAR($C18)+1,'[1]MSR-MHz-pop (input) (trial)'!$B:$B,'[1]MSR-MHz-pop (input) (trial)'!$AM:$AM))
),"")</f>
        <v/>
      </c>
      <c r="N18" s="10" t="str">
        <f t="shared" si="3"/>
        <v/>
      </c>
      <c r="O18" s="10" t="str">
        <f t="shared" si="4"/>
        <v/>
      </c>
      <c r="V18" s="14"/>
      <c r="AB18" s="15"/>
    </row>
    <row r="19" spans="2:28" x14ac:dyDescent="0.35">
      <c r="B19" s="8"/>
      <c r="C19" s="15"/>
      <c r="D19" s="16"/>
      <c r="E19" s="21"/>
      <c r="F19" s="8"/>
      <c r="G19" s="9"/>
      <c r="H19" s="9" t="str">
        <f t="shared" si="0"/>
        <v/>
      </c>
      <c r="I19" s="9"/>
      <c r="J19" s="9"/>
      <c r="K19" s="10" t="str">
        <f t="shared" si="1"/>
        <v/>
      </c>
      <c r="L19" s="10" t="str">
        <f t="shared" si="2"/>
        <v/>
      </c>
      <c r="M19" s="9" t="str">
        <f>IFERROR(
IF(A19="","",
IF(MONTH(C19)&lt;7,_xlfn.XLOOKUP(YEAR($C19),'[1]MSR-MHz-pop (input) (trial)'!$B:$B,'[1]MSR-MHz-pop (input) (trial)'!$AM:$AM),_xlfn.XLOOKUP(YEAR($C19)+1,'[1]MSR-MHz-pop (input) (trial)'!$B:$B,'[1]MSR-MHz-pop (input) (trial)'!$AM:$AM))
),"")</f>
        <v/>
      </c>
      <c r="N19" s="10" t="str">
        <f t="shared" si="3"/>
        <v/>
      </c>
      <c r="O19" s="10" t="str">
        <f t="shared" si="4"/>
        <v/>
      </c>
      <c r="AB19" s="15"/>
    </row>
    <row r="20" spans="2:28" x14ac:dyDescent="0.35">
      <c r="B20" s="8"/>
      <c r="C20" s="15"/>
      <c r="D20" s="16"/>
      <c r="E20" s="21"/>
      <c r="F20" s="8"/>
      <c r="G20" s="9"/>
      <c r="H20" s="9" t="str">
        <f t="shared" si="0"/>
        <v/>
      </c>
      <c r="I20" s="9"/>
      <c r="J20" s="9"/>
      <c r="K20" s="10" t="str">
        <f t="shared" si="1"/>
        <v/>
      </c>
      <c r="L20" s="10" t="str">
        <f t="shared" si="2"/>
        <v/>
      </c>
      <c r="M20" s="9" t="str">
        <f>IFERROR(
IF(A20="","",
IF(MONTH(C20)&lt;7,_xlfn.XLOOKUP(YEAR($C20),'[1]MSR-MHz-pop (input) (trial)'!$B:$B,'[1]MSR-MHz-pop (input) (trial)'!$AM:$AM),_xlfn.XLOOKUP(YEAR($C20)+1,'[1]MSR-MHz-pop (input) (trial)'!$B:$B,'[1]MSR-MHz-pop (input) (trial)'!$AM:$AM))
),"")</f>
        <v/>
      </c>
      <c r="N20" s="10" t="str">
        <f t="shared" si="3"/>
        <v/>
      </c>
      <c r="O20" s="10" t="str">
        <f t="shared" si="4"/>
        <v/>
      </c>
      <c r="AB20" s="15"/>
    </row>
    <row r="21" spans="2:28" x14ac:dyDescent="0.35">
      <c r="B21" s="8"/>
      <c r="C21" s="15"/>
      <c r="D21" s="16"/>
      <c r="E21" s="21"/>
      <c r="F21" s="8"/>
      <c r="G21" s="9"/>
      <c r="H21" s="9" t="str">
        <f t="shared" si="0"/>
        <v/>
      </c>
      <c r="I21" s="9"/>
      <c r="J21" s="9"/>
      <c r="K21" s="10" t="str">
        <f t="shared" si="1"/>
        <v/>
      </c>
      <c r="L21" s="10" t="str">
        <f t="shared" si="2"/>
        <v/>
      </c>
      <c r="M21" s="9" t="str">
        <f>IFERROR(
IF(A21="","",
IF(MONTH(C21)&lt;7,_xlfn.XLOOKUP(YEAR($C21),'[1]MSR-MHz-pop (input) (trial)'!$B:$B,'[1]MSR-MHz-pop (input) (trial)'!$AM:$AM),_xlfn.XLOOKUP(YEAR($C21)+1,'[1]MSR-MHz-pop (input) (trial)'!$B:$B,'[1]MSR-MHz-pop (input) (trial)'!$AM:$AM))
),"")</f>
        <v/>
      </c>
      <c r="N21" s="10" t="str">
        <f t="shared" si="3"/>
        <v/>
      </c>
      <c r="O21" s="10" t="str">
        <f t="shared" si="4"/>
        <v/>
      </c>
      <c r="AB21" s="15"/>
    </row>
    <row r="22" spans="2:28" x14ac:dyDescent="0.35">
      <c r="B22" s="8"/>
      <c r="C22" s="15"/>
      <c r="D22" s="16"/>
      <c r="E22" s="21"/>
      <c r="F22" s="8"/>
      <c r="G22" s="9"/>
      <c r="H22" s="9" t="str">
        <f t="shared" si="0"/>
        <v/>
      </c>
      <c r="I22" s="9"/>
      <c r="J22" s="9"/>
      <c r="K22" s="10" t="str">
        <f t="shared" si="1"/>
        <v/>
      </c>
      <c r="L22" s="10" t="str">
        <f t="shared" si="2"/>
        <v/>
      </c>
      <c r="M22" s="9" t="str">
        <f>IFERROR(
IF(A22="","",
IF(MONTH(C22)&lt;7,_xlfn.XLOOKUP(YEAR($C22),'[1]MSR-MHz-pop (input) (trial)'!$B:$B,'[1]MSR-MHz-pop (input) (trial)'!$AM:$AM),_xlfn.XLOOKUP(YEAR($C22)+1,'[1]MSR-MHz-pop (input) (trial)'!$B:$B,'[1]MSR-MHz-pop (input) (trial)'!$AM:$AM))
),"")</f>
        <v/>
      </c>
      <c r="N22" s="10" t="str">
        <f t="shared" si="3"/>
        <v/>
      </c>
      <c r="O22" s="10" t="str">
        <f t="shared" si="4"/>
        <v/>
      </c>
      <c r="AB22" s="15"/>
    </row>
    <row r="23" spans="2:28" x14ac:dyDescent="0.35">
      <c r="B23" s="8"/>
      <c r="C23" s="15"/>
      <c r="D23" s="16"/>
      <c r="E23" s="21"/>
      <c r="F23" s="8"/>
      <c r="G23" s="9"/>
      <c r="H23" s="9" t="str">
        <f t="shared" si="0"/>
        <v/>
      </c>
      <c r="I23" s="9"/>
      <c r="J23" s="9"/>
      <c r="K23" s="10" t="str">
        <f t="shared" si="1"/>
        <v/>
      </c>
      <c r="L23" s="10" t="str">
        <f t="shared" si="2"/>
        <v/>
      </c>
      <c r="M23" s="9" t="str">
        <f>IFERROR(
IF(A23="","",
IF(MONTH(C23)&lt;7,_xlfn.XLOOKUP(YEAR($C23),'[1]MSR-MHz-pop (input) (trial)'!$B:$B,'[1]MSR-MHz-pop (input) (trial)'!$AM:$AM),_xlfn.XLOOKUP(YEAR($C23)+1,'[1]MSR-MHz-pop (input) (trial)'!$B:$B,'[1]MSR-MHz-pop (input) (trial)'!$AM:$AM))
),"")</f>
        <v/>
      </c>
      <c r="N23" s="10" t="str">
        <f t="shared" si="3"/>
        <v/>
      </c>
      <c r="O23" s="10" t="str">
        <f t="shared" si="4"/>
        <v/>
      </c>
      <c r="AB23" s="15"/>
    </row>
    <row r="24" spans="2:28" x14ac:dyDescent="0.35">
      <c r="B24" s="8"/>
      <c r="C24" s="15"/>
      <c r="D24" s="16"/>
      <c r="E24" s="21"/>
      <c r="F24" s="8"/>
      <c r="G24" s="9"/>
      <c r="H24" s="9" t="str">
        <f t="shared" si="0"/>
        <v/>
      </c>
      <c r="I24" s="9"/>
      <c r="J24" s="9"/>
      <c r="K24" s="10" t="str">
        <f t="shared" si="1"/>
        <v/>
      </c>
      <c r="L24" s="10" t="str">
        <f t="shared" si="2"/>
        <v/>
      </c>
      <c r="M24" s="9" t="str">
        <f>IFERROR(
IF(A24="","",
IF(MONTH(C24)&lt;7,_xlfn.XLOOKUP(YEAR($C24),'[1]MSR-MHz-pop (input) (trial)'!$B:$B,'[1]MSR-MHz-pop (input) (trial)'!$AM:$AM),_xlfn.XLOOKUP(YEAR($C24)+1,'[1]MSR-MHz-pop (input) (trial)'!$B:$B,'[1]MSR-MHz-pop (input) (trial)'!$AM:$AM))
),"")</f>
        <v/>
      </c>
      <c r="N24" s="10" t="str">
        <f t="shared" si="3"/>
        <v/>
      </c>
      <c r="O24" s="10" t="str">
        <f t="shared" si="4"/>
        <v/>
      </c>
      <c r="AB24" s="15"/>
    </row>
    <row r="25" spans="2:28" x14ac:dyDescent="0.35">
      <c r="B25" s="8"/>
      <c r="C25" s="15"/>
      <c r="D25" s="16"/>
      <c r="E25" s="21"/>
      <c r="F25" s="8"/>
      <c r="G25" s="9"/>
      <c r="H25" s="9" t="str">
        <f t="shared" si="0"/>
        <v/>
      </c>
      <c r="I25" s="9"/>
      <c r="J25" s="9"/>
      <c r="K25" s="10" t="str">
        <f t="shared" si="1"/>
        <v/>
      </c>
      <c r="L25" s="10" t="str">
        <f t="shared" si="2"/>
        <v/>
      </c>
      <c r="M25" s="9" t="str">
        <f>IFERROR(
IF(A25="","",
IF(MONTH(C25)&lt;7,_xlfn.XLOOKUP(YEAR($C25),'[1]MSR-MHz-pop (input) (trial)'!$B:$B,'[1]MSR-MHz-pop (input) (trial)'!$AM:$AM),_xlfn.XLOOKUP(YEAR($C25)+1,'[1]MSR-MHz-pop (input) (trial)'!$B:$B,'[1]MSR-MHz-pop (input) (trial)'!$AM:$AM))
),"")</f>
        <v/>
      </c>
      <c r="N25" s="10" t="str">
        <f t="shared" si="3"/>
        <v/>
      </c>
      <c r="O25" s="10" t="str">
        <f t="shared" si="4"/>
        <v/>
      </c>
      <c r="AB25" s="15"/>
    </row>
    <row r="26" spans="2:28" x14ac:dyDescent="0.35">
      <c r="B26" s="8"/>
      <c r="C26" s="15"/>
      <c r="D26" s="16"/>
      <c r="E26" s="21"/>
      <c r="F26" s="8"/>
      <c r="G26" s="9"/>
      <c r="H26" s="9" t="str">
        <f t="shared" si="0"/>
        <v/>
      </c>
      <c r="I26" s="9"/>
      <c r="J26" s="9"/>
      <c r="K26" s="10" t="str">
        <f t="shared" si="1"/>
        <v/>
      </c>
      <c r="L26" s="10" t="str">
        <f t="shared" si="2"/>
        <v/>
      </c>
      <c r="M26" s="9" t="str">
        <f>IFERROR(
IF(A26="","",
IF(MONTH(C26)&lt;7,_xlfn.XLOOKUP(YEAR($C26),'[1]MSR-MHz-pop (input) (trial)'!$B:$B,'[1]MSR-MHz-pop (input) (trial)'!$AM:$AM),_xlfn.XLOOKUP(YEAR($C26)+1,'[1]MSR-MHz-pop (input) (trial)'!$B:$B,'[1]MSR-MHz-pop (input) (trial)'!$AM:$AM))
),"")</f>
        <v/>
      </c>
      <c r="N26" s="10" t="str">
        <f t="shared" si="3"/>
        <v/>
      </c>
      <c r="O26" s="10" t="str">
        <f t="shared" si="4"/>
        <v/>
      </c>
      <c r="AB26" s="15"/>
    </row>
    <row r="27" spans="2:28" x14ac:dyDescent="0.35">
      <c r="B27" s="8"/>
      <c r="C27" s="15"/>
      <c r="D27" s="16"/>
      <c r="E27" s="21"/>
      <c r="F27" s="8"/>
      <c r="G27" s="9"/>
      <c r="H27" s="9" t="str">
        <f t="shared" si="0"/>
        <v/>
      </c>
      <c r="I27" s="9"/>
      <c r="J27" s="9"/>
      <c r="K27" s="10" t="str">
        <f t="shared" si="1"/>
        <v/>
      </c>
      <c r="L27" s="10" t="str">
        <f t="shared" si="2"/>
        <v/>
      </c>
      <c r="M27" s="9" t="str">
        <f>IFERROR(
IF(A27="","",
IF(MONTH(C27)&lt;7,_xlfn.XLOOKUP(YEAR($C27),'[1]MSR-MHz-pop (input) (trial)'!$B:$B,'[1]MSR-MHz-pop (input) (trial)'!$AM:$AM),_xlfn.XLOOKUP(YEAR($C27)+1,'[1]MSR-MHz-pop (input) (trial)'!$B:$B,'[1]MSR-MHz-pop (input) (trial)'!$AM:$AM))
),"")</f>
        <v/>
      </c>
      <c r="N27" s="10" t="str">
        <f t="shared" si="3"/>
        <v/>
      </c>
      <c r="O27" s="10" t="str">
        <f t="shared" si="4"/>
        <v/>
      </c>
      <c r="AB27" s="15"/>
    </row>
    <row r="28" spans="2:28" x14ac:dyDescent="0.35">
      <c r="B28" s="8"/>
      <c r="C28" s="15"/>
      <c r="D28" s="16"/>
      <c r="E28" s="21"/>
      <c r="F28" s="8"/>
      <c r="G28" s="9"/>
      <c r="H28" s="9" t="str">
        <f t="shared" si="0"/>
        <v/>
      </c>
      <c r="I28" s="9"/>
      <c r="J28" s="9"/>
      <c r="K28" s="10" t="str">
        <f t="shared" si="1"/>
        <v/>
      </c>
      <c r="L28" s="10" t="str">
        <f t="shared" si="2"/>
        <v/>
      </c>
      <c r="M28" s="9" t="str">
        <f>IFERROR(
IF(A28="","",
IF(MONTH(C28)&lt;7,_xlfn.XLOOKUP(YEAR($C28),'[1]MSR-MHz-pop (input) (trial)'!$B:$B,'[1]MSR-MHz-pop (input) (trial)'!$AM:$AM),_xlfn.XLOOKUP(YEAR($C28)+1,'[1]MSR-MHz-pop (input) (trial)'!$B:$B,'[1]MSR-MHz-pop (input) (trial)'!$AM:$AM))
),"")</f>
        <v/>
      </c>
      <c r="N28" s="10" t="str">
        <f t="shared" si="3"/>
        <v/>
      </c>
      <c r="O28" s="10" t="str">
        <f t="shared" si="4"/>
        <v/>
      </c>
      <c r="AB28" s="15"/>
    </row>
    <row r="29" spans="2:28" x14ac:dyDescent="0.35">
      <c r="B29" s="8"/>
      <c r="C29" s="15"/>
      <c r="D29" s="16"/>
      <c r="E29" s="21"/>
      <c r="F29" s="8"/>
      <c r="G29" s="9"/>
      <c r="H29" s="9" t="str">
        <f t="shared" si="0"/>
        <v/>
      </c>
      <c r="I29" s="9"/>
      <c r="J29" s="9"/>
      <c r="K29" s="10" t="str">
        <f t="shared" si="1"/>
        <v/>
      </c>
      <c r="L29" s="10" t="str">
        <f t="shared" si="2"/>
        <v/>
      </c>
      <c r="M29" s="9" t="str">
        <f>IFERROR(
IF(A29="","",
IF(MONTH(C29)&lt;7,_xlfn.XLOOKUP(YEAR($C29),'[1]MSR-MHz-pop (input) (trial)'!$B:$B,'[1]MSR-MHz-pop (input) (trial)'!$AM:$AM),_xlfn.XLOOKUP(YEAR($C29)+1,'[1]MSR-MHz-pop (input) (trial)'!$B:$B,'[1]MSR-MHz-pop (input) (trial)'!$AM:$AM))
),"")</f>
        <v/>
      </c>
      <c r="N29" s="10" t="str">
        <f t="shared" si="3"/>
        <v/>
      </c>
      <c r="O29" s="10" t="str">
        <f t="shared" si="4"/>
        <v/>
      </c>
      <c r="AB29" s="15"/>
    </row>
    <row r="30" spans="2:28" x14ac:dyDescent="0.35">
      <c r="B30" s="8"/>
      <c r="C30" s="15"/>
      <c r="D30" s="16"/>
      <c r="E30" s="21"/>
      <c r="F30" s="8"/>
      <c r="G30" s="9"/>
      <c r="H30" s="9" t="str">
        <f t="shared" si="0"/>
        <v/>
      </c>
      <c r="I30" s="9"/>
      <c r="J30" s="9"/>
      <c r="K30" s="10" t="str">
        <f t="shared" si="1"/>
        <v/>
      </c>
      <c r="L30" s="10" t="str">
        <f t="shared" si="2"/>
        <v/>
      </c>
      <c r="M30" s="9" t="str">
        <f>IFERROR(
IF(A30="","",
IF(MONTH(C30)&lt;7,_xlfn.XLOOKUP(YEAR($C30),'[1]MSR-MHz-pop (input) (trial)'!$B:$B,'[1]MSR-MHz-pop (input) (trial)'!$AM:$AM),_xlfn.XLOOKUP(YEAR($C30)+1,'[1]MSR-MHz-pop (input) (trial)'!$B:$B,'[1]MSR-MHz-pop (input) (trial)'!$AM:$AM))
),"")</f>
        <v/>
      </c>
      <c r="N30" s="10" t="str">
        <f t="shared" si="3"/>
        <v/>
      </c>
      <c r="O30" s="10" t="str">
        <f t="shared" si="4"/>
        <v/>
      </c>
      <c r="Q30" s="11"/>
      <c r="R30" s="11"/>
      <c r="AB30" s="15"/>
    </row>
    <row r="31" spans="2:28" x14ac:dyDescent="0.35">
      <c r="B31" s="8"/>
      <c r="C31" s="15"/>
      <c r="D31" s="16"/>
      <c r="E31" s="21"/>
      <c r="F31" s="8"/>
      <c r="G31" s="9"/>
      <c r="H31" s="9" t="str">
        <f t="shared" si="0"/>
        <v/>
      </c>
      <c r="I31" s="9"/>
      <c r="J31" s="9"/>
      <c r="K31" s="10" t="str">
        <f t="shared" si="1"/>
        <v/>
      </c>
      <c r="L31" s="10" t="str">
        <f t="shared" si="2"/>
        <v/>
      </c>
      <c r="M31" s="9" t="str">
        <f>IFERROR(
IF(A31="","",
IF(MONTH(C31)&lt;7,_xlfn.XLOOKUP(YEAR($C31),'[1]MSR-MHz-pop (input) (trial)'!$B:$B,'[1]MSR-MHz-pop (input) (trial)'!$AM:$AM),_xlfn.XLOOKUP(YEAR($C31)+1,'[1]MSR-MHz-pop (input) (trial)'!$B:$B,'[1]MSR-MHz-pop (input) (trial)'!$AM:$AM))
),"")</f>
        <v/>
      </c>
      <c r="N31" s="10" t="str">
        <f t="shared" si="3"/>
        <v/>
      </c>
      <c r="O31" s="10" t="str">
        <f t="shared" si="4"/>
        <v/>
      </c>
      <c r="AB31" s="15"/>
    </row>
    <row r="32" spans="2:28" x14ac:dyDescent="0.35">
      <c r="B32" s="8"/>
      <c r="C32" s="15"/>
      <c r="D32" s="16"/>
      <c r="E32" s="21"/>
      <c r="F32" s="8"/>
      <c r="G32" s="9"/>
      <c r="H32" s="9" t="str">
        <f t="shared" si="0"/>
        <v/>
      </c>
      <c r="I32" s="9"/>
      <c r="J32" s="9"/>
      <c r="K32" s="10" t="str">
        <f t="shared" si="1"/>
        <v/>
      </c>
      <c r="L32" s="10" t="str">
        <f t="shared" si="2"/>
        <v/>
      </c>
      <c r="M32" s="9" t="str">
        <f>IFERROR(
IF(A32="","",
IF(MONTH(C32)&lt;7,_xlfn.XLOOKUP(YEAR($C32),'[1]MSR-MHz-pop (input) (trial)'!$B:$B,'[1]MSR-MHz-pop (input) (trial)'!$AM:$AM),_xlfn.XLOOKUP(YEAR($C32)+1,'[1]MSR-MHz-pop (input) (trial)'!$B:$B,'[1]MSR-MHz-pop (input) (trial)'!$AM:$AM))
),"")</f>
        <v/>
      </c>
      <c r="N32" s="10" t="str">
        <f t="shared" si="3"/>
        <v/>
      </c>
      <c r="O32" s="10" t="str">
        <f t="shared" si="4"/>
        <v/>
      </c>
    </row>
    <row r="33" spans="2:15" x14ac:dyDescent="0.35">
      <c r="B33" s="8"/>
      <c r="C33" s="15"/>
      <c r="D33" s="16"/>
      <c r="E33" s="21"/>
      <c r="F33" s="8"/>
      <c r="G33" s="9"/>
      <c r="H33" s="9" t="str">
        <f t="shared" si="0"/>
        <v/>
      </c>
      <c r="I33" s="9"/>
      <c r="J33" s="9"/>
      <c r="K33" s="10" t="str">
        <f>IF(G33="","",IFERROR($H33/I33,"-"))</f>
        <v/>
      </c>
      <c r="L33" s="10" t="str">
        <f>IF(G33="","",IFERROR($H33/J33,"-"))</f>
        <v/>
      </c>
      <c r="M33" s="9" t="str">
        <f>IFERROR(
IF(A33="","",
IF(MONTH(C33)&lt;7,_xlfn.XLOOKUP(YEAR($C33),'[1]MSR-MHz-pop (input) (trial)'!$B:$B,'[1]MSR-MHz-pop (input) (trial)'!$AM:$AM),_xlfn.XLOOKUP(YEAR($C33)+1,'[1]MSR-MHz-pop (input) (trial)'!$B:$B,'[1]MSR-MHz-pop (input) (trial)'!$AM:$AM))
),"")</f>
        <v/>
      </c>
      <c r="N33" s="10" t="str">
        <f>IF(G33="","",IFERROR(K33/$M33,"-"))</f>
        <v/>
      </c>
      <c r="O33" s="10" t="str">
        <f>IF(G33="","",IFERROR(L33/$M33,"-"))</f>
        <v/>
      </c>
    </row>
    <row r="34" spans="2:15" x14ac:dyDescent="0.35">
      <c r="B34" s="8"/>
      <c r="C34" s="15"/>
      <c r="D34" s="16"/>
      <c r="E34" s="21"/>
      <c r="F34" s="8"/>
      <c r="G34" s="9"/>
      <c r="H34" s="9" t="str">
        <f t="shared" ref="H34:H50" si="5">IF(G34="","",IFERROR((G34)*((1-((1+Daily_Tilt)/(1+Daily_WACC))^365)/(1-((1+Daily_Tilt)/(1+Daily_WACC))^($F34))),"-"))</f>
        <v/>
      </c>
      <c r="I34" s="9"/>
      <c r="J34" s="9"/>
      <c r="K34" s="10" t="str">
        <f t="shared" si="1"/>
        <v/>
      </c>
      <c r="L34" s="10" t="str">
        <f t="shared" si="2"/>
        <v/>
      </c>
      <c r="M34" s="9" t="str">
        <f>IFERROR(
IF(A34="","",
IF(MONTH(C34)&lt;7,_xlfn.XLOOKUP(YEAR($C34),'[1]MSR-MHz-pop (input) (trial)'!$B:$B,'[1]MSR-MHz-pop (input) (trial)'!$AM:$AM),_xlfn.XLOOKUP(YEAR($C34)+1,'[1]MSR-MHz-pop (input) (trial)'!$B:$B,'[1]MSR-MHz-pop (input) (trial)'!$AM:$AM))
),"")</f>
        <v/>
      </c>
      <c r="N34" s="10" t="str">
        <f t="shared" si="3"/>
        <v/>
      </c>
      <c r="O34" s="10"/>
    </row>
    <row r="35" spans="2:15" x14ac:dyDescent="0.35">
      <c r="C35" s="15"/>
      <c r="D35" s="16"/>
      <c r="E35" s="8"/>
      <c r="F35" s="8"/>
      <c r="G35" s="9"/>
      <c r="H35" s="9" t="str">
        <f t="shared" si="5"/>
        <v/>
      </c>
      <c r="I35" s="9"/>
      <c r="J35" s="9"/>
      <c r="K35" s="10" t="str">
        <f t="shared" si="1"/>
        <v/>
      </c>
      <c r="L35" s="10" t="str">
        <f t="shared" si="2"/>
        <v/>
      </c>
      <c r="M35" s="9" t="str">
        <f>IFERROR(
IF(A35="","",
IF(MONTH(C35)&lt;7,_xlfn.XLOOKUP(YEAR($C35),'[1]MSR-MHz-pop (input) (trial)'!$B:$B,'[1]MSR-MHz-pop (input) (trial)'!$AM:$AM),_xlfn.XLOOKUP(YEAR($C35)+1,'[1]MSR-MHz-pop (input) (trial)'!$B:$B,'[1]MSR-MHz-pop (input) (trial)'!$AM:$AM))
),"")</f>
        <v/>
      </c>
      <c r="N35" s="10" t="str">
        <f t="shared" si="3"/>
        <v/>
      </c>
      <c r="O35" s="10" t="str">
        <f t="shared" si="4"/>
        <v/>
      </c>
    </row>
    <row r="36" spans="2:15" x14ac:dyDescent="0.35">
      <c r="C36" s="15"/>
      <c r="D36" s="16"/>
      <c r="E36" s="8"/>
      <c r="F36" s="8"/>
      <c r="G36" s="9"/>
      <c r="H36" s="9" t="str">
        <f t="shared" si="5"/>
        <v/>
      </c>
      <c r="I36" s="9"/>
      <c r="J36" s="9"/>
      <c r="K36" s="10" t="str">
        <f t="shared" si="1"/>
        <v/>
      </c>
      <c r="L36" s="10" t="str">
        <f t="shared" si="2"/>
        <v/>
      </c>
      <c r="M36" s="9" t="str">
        <f>IFERROR(
IF(A36="","",
IF(MONTH(C36)&lt;7,_xlfn.XLOOKUP(YEAR($C36),'[1]MSR-MHz-pop (input) (trial)'!$B:$B,'[1]MSR-MHz-pop (input) (trial)'!$AM:$AM),_xlfn.XLOOKUP(YEAR($C36)+1,'[1]MSR-MHz-pop (input) (trial)'!$B:$B,'[1]MSR-MHz-pop (input) (trial)'!$AM:$AM))
),"")</f>
        <v/>
      </c>
      <c r="N36" s="10" t="str">
        <f t="shared" si="3"/>
        <v/>
      </c>
      <c r="O36" s="10" t="str">
        <f t="shared" si="4"/>
        <v/>
      </c>
    </row>
    <row r="37" spans="2:15" x14ac:dyDescent="0.35">
      <c r="C37" s="15"/>
      <c r="D37" s="16"/>
      <c r="E37" s="8"/>
      <c r="F37" s="8"/>
      <c r="G37" s="9"/>
      <c r="H37" s="9" t="str">
        <f t="shared" si="5"/>
        <v/>
      </c>
      <c r="I37" s="9"/>
      <c r="J37" s="9"/>
      <c r="K37" s="10" t="str">
        <f t="shared" si="1"/>
        <v/>
      </c>
      <c r="L37" s="10" t="str">
        <f t="shared" si="2"/>
        <v/>
      </c>
      <c r="M37" s="9" t="str">
        <f>IFERROR(
IF(A37="","",
IF(MONTH(C37)&lt;7,_xlfn.XLOOKUP(YEAR($C37),'[1]MSR-MHz-pop (input) (trial)'!$B:$B,'[1]MSR-MHz-pop (input) (trial)'!$AM:$AM),_xlfn.XLOOKUP(YEAR($C37)+1,'[1]MSR-MHz-pop (input) (trial)'!$B:$B,'[1]MSR-MHz-pop (input) (trial)'!$AM:$AM))
),"")</f>
        <v/>
      </c>
      <c r="N37" s="10" t="str">
        <f t="shared" si="3"/>
        <v/>
      </c>
      <c r="O37" s="10" t="str">
        <f t="shared" si="4"/>
        <v/>
      </c>
    </row>
    <row r="38" spans="2:15" x14ac:dyDescent="0.35">
      <c r="C38" s="15"/>
      <c r="D38" s="16"/>
      <c r="E38" s="8"/>
      <c r="F38" s="8"/>
      <c r="G38" s="9"/>
      <c r="H38" s="9" t="str">
        <f t="shared" si="5"/>
        <v/>
      </c>
      <c r="I38" s="9"/>
      <c r="J38" s="9"/>
      <c r="K38" s="10" t="str">
        <f t="shared" si="1"/>
        <v/>
      </c>
      <c r="L38" s="10" t="str">
        <f t="shared" si="2"/>
        <v/>
      </c>
      <c r="M38" s="9" t="str">
        <f>IFERROR(
IF(A38="","",
IF(MONTH(C38)&lt;7,_xlfn.XLOOKUP(YEAR($C38),'[1]MSR-MHz-pop (input) (trial)'!$B:$B,'[1]MSR-MHz-pop (input) (trial)'!$AM:$AM),_xlfn.XLOOKUP(YEAR($C38)+1,'[1]MSR-MHz-pop (input) (trial)'!$B:$B,'[1]MSR-MHz-pop (input) (trial)'!$AM:$AM))
),"")</f>
        <v/>
      </c>
      <c r="N38" s="10" t="str">
        <f t="shared" si="3"/>
        <v/>
      </c>
      <c r="O38" s="10" t="str">
        <f t="shared" si="4"/>
        <v/>
      </c>
    </row>
    <row r="39" spans="2:15" x14ac:dyDescent="0.35">
      <c r="C39" s="15"/>
      <c r="D39" s="16"/>
      <c r="E39" s="8"/>
      <c r="F39" s="8"/>
      <c r="G39" s="9"/>
      <c r="H39" s="9" t="str">
        <f t="shared" si="5"/>
        <v/>
      </c>
      <c r="I39" s="9"/>
      <c r="J39" s="9"/>
      <c r="K39" s="10" t="str">
        <f t="shared" si="1"/>
        <v/>
      </c>
      <c r="L39" s="10" t="str">
        <f t="shared" si="2"/>
        <v/>
      </c>
      <c r="M39" s="9" t="str">
        <f>IFERROR(
IF(A39="","",
IF(MONTH(C39)&lt;7,_xlfn.XLOOKUP(YEAR($C39),'[1]MSR-MHz-pop (input) (trial)'!$B:$B,'[1]MSR-MHz-pop (input) (trial)'!$AM:$AM),_xlfn.XLOOKUP(YEAR($C39)+1,'[1]MSR-MHz-pop (input) (trial)'!$B:$B,'[1]MSR-MHz-pop (input) (trial)'!$AM:$AM))
),"")</f>
        <v/>
      </c>
      <c r="N39" s="10" t="str">
        <f t="shared" si="3"/>
        <v/>
      </c>
      <c r="O39" s="10" t="str">
        <f t="shared" si="4"/>
        <v/>
      </c>
    </row>
    <row r="40" spans="2:15" x14ac:dyDescent="0.35">
      <c r="C40" s="15"/>
      <c r="D40" s="16"/>
      <c r="E40" s="8"/>
      <c r="F40" s="8"/>
      <c r="G40" s="9"/>
      <c r="H40" s="9" t="str">
        <f t="shared" si="5"/>
        <v/>
      </c>
      <c r="I40" s="9"/>
      <c r="J40" s="9"/>
      <c r="K40" s="10" t="str">
        <f t="shared" si="1"/>
        <v/>
      </c>
      <c r="L40" s="10" t="str">
        <f t="shared" si="2"/>
        <v/>
      </c>
      <c r="M40" s="9" t="str">
        <f>IFERROR(
IF(A40="","",
IF(MONTH(C40)&lt;7,_xlfn.XLOOKUP(YEAR($C40),'[1]MSR-MHz-pop (input) (trial)'!$B:$B,'[1]MSR-MHz-pop (input) (trial)'!$AM:$AM),_xlfn.XLOOKUP(YEAR($C40)+1,'[1]MSR-MHz-pop (input) (trial)'!$B:$B,'[1]MSR-MHz-pop (input) (trial)'!$AM:$AM))
),"")</f>
        <v/>
      </c>
      <c r="N40" s="10" t="str">
        <f t="shared" si="3"/>
        <v/>
      </c>
      <c r="O40" s="10" t="str">
        <f t="shared" si="4"/>
        <v/>
      </c>
    </row>
    <row r="41" spans="2:15" x14ac:dyDescent="0.35">
      <c r="C41" s="15"/>
      <c r="D41" s="16"/>
      <c r="E41" s="8"/>
      <c r="F41" s="8"/>
      <c r="G41" s="9"/>
      <c r="H41" s="9" t="str">
        <f t="shared" si="5"/>
        <v/>
      </c>
      <c r="I41" s="9"/>
      <c r="J41" s="9"/>
      <c r="K41" s="10" t="str">
        <f t="shared" si="1"/>
        <v/>
      </c>
      <c r="L41" s="10" t="str">
        <f t="shared" si="2"/>
        <v/>
      </c>
      <c r="M41" s="9" t="str">
        <f>IFERROR(
IF(A41="","",
IF(MONTH(C41)&lt;7,_xlfn.XLOOKUP(YEAR($C41),'[1]MSR-MHz-pop (input) (trial)'!$B:$B,'[1]MSR-MHz-pop (input) (trial)'!$AM:$AM),_xlfn.XLOOKUP(YEAR($C41)+1,'[1]MSR-MHz-pop (input) (trial)'!$B:$B,'[1]MSR-MHz-pop (input) (trial)'!$AM:$AM))
),"")</f>
        <v/>
      </c>
      <c r="N41" s="10" t="str">
        <f t="shared" si="3"/>
        <v/>
      </c>
      <c r="O41" s="10" t="str">
        <f t="shared" si="4"/>
        <v/>
      </c>
    </row>
    <row r="42" spans="2:15" x14ac:dyDescent="0.35">
      <c r="C42" s="15"/>
      <c r="D42" s="16"/>
      <c r="E42" s="8"/>
      <c r="F42" s="8"/>
      <c r="G42" s="9"/>
      <c r="H42" s="9" t="str">
        <f t="shared" si="5"/>
        <v/>
      </c>
      <c r="I42" s="9"/>
      <c r="J42" s="9"/>
      <c r="K42" s="10" t="str">
        <f t="shared" si="1"/>
        <v/>
      </c>
      <c r="L42" s="10" t="str">
        <f t="shared" si="2"/>
        <v/>
      </c>
      <c r="M42" s="9" t="str">
        <f>IFERROR(
IF(A42="","",
IF(MONTH(C42)&lt;7,_xlfn.XLOOKUP(YEAR($C42),'[1]MSR-MHz-pop (input) (trial)'!$B:$B,'[1]MSR-MHz-pop (input) (trial)'!$AM:$AM),_xlfn.XLOOKUP(YEAR($C42)+1,'[1]MSR-MHz-pop (input) (trial)'!$B:$B,'[1]MSR-MHz-pop (input) (trial)'!$AM:$AM))
),"")</f>
        <v/>
      </c>
      <c r="N42" s="10" t="str">
        <f t="shared" si="3"/>
        <v/>
      </c>
      <c r="O42" s="10" t="str">
        <f t="shared" si="4"/>
        <v/>
      </c>
    </row>
    <row r="43" spans="2:15" x14ac:dyDescent="0.35">
      <c r="C43" s="15"/>
      <c r="D43" s="16"/>
      <c r="E43" s="8"/>
      <c r="F43" s="8"/>
      <c r="G43" s="9"/>
      <c r="H43" s="9" t="str">
        <f t="shared" si="5"/>
        <v/>
      </c>
      <c r="I43" s="9"/>
      <c r="J43" s="9"/>
      <c r="K43" s="10" t="str">
        <f t="shared" si="1"/>
        <v/>
      </c>
      <c r="L43" s="10" t="str">
        <f t="shared" si="2"/>
        <v/>
      </c>
      <c r="M43" s="9" t="str">
        <f>IFERROR(
IF(A43="","",
IF(MONTH(C43)&lt;7,_xlfn.XLOOKUP(YEAR($C43),'[1]MSR-MHz-pop (input) (trial)'!$B:$B,'[1]MSR-MHz-pop (input) (trial)'!$AM:$AM),_xlfn.XLOOKUP(YEAR($C43)+1,'[1]MSR-MHz-pop (input) (trial)'!$B:$B,'[1]MSR-MHz-pop (input) (trial)'!$AM:$AM))
),"")</f>
        <v/>
      </c>
      <c r="N43" s="10" t="str">
        <f t="shared" si="3"/>
        <v/>
      </c>
      <c r="O43" s="10" t="str">
        <f t="shared" si="4"/>
        <v/>
      </c>
    </row>
    <row r="44" spans="2:15" x14ac:dyDescent="0.35">
      <c r="C44" s="15"/>
      <c r="D44" s="16"/>
      <c r="E44" s="8"/>
      <c r="F44" s="8"/>
      <c r="G44" s="9"/>
      <c r="H44" s="9" t="str">
        <f t="shared" si="5"/>
        <v/>
      </c>
      <c r="I44" s="9"/>
      <c r="J44" s="9"/>
      <c r="K44" s="10" t="str">
        <f t="shared" si="1"/>
        <v/>
      </c>
      <c r="L44" s="10" t="str">
        <f t="shared" si="2"/>
        <v/>
      </c>
      <c r="M44" s="9" t="str">
        <f>IFERROR(
IF(A44="","",
IF(MONTH(C44)&lt;7,_xlfn.XLOOKUP(YEAR($C44),'[1]MSR-MHz-pop (input) (trial)'!$B:$B,'[1]MSR-MHz-pop (input) (trial)'!$AM:$AM),_xlfn.XLOOKUP(YEAR($C44)+1,'[1]MSR-MHz-pop (input) (trial)'!$B:$B,'[1]MSR-MHz-pop (input) (trial)'!$AM:$AM))
),"")</f>
        <v/>
      </c>
      <c r="N44" s="10" t="str">
        <f t="shared" si="3"/>
        <v/>
      </c>
      <c r="O44" s="10" t="str">
        <f t="shared" si="4"/>
        <v/>
      </c>
    </row>
    <row r="45" spans="2:15" x14ac:dyDescent="0.35">
      <c r="C45" s="15"/>
      <c r="D45" s="16"/>
      <c r="E45" s="8"/>
      <c r="F45" s="8"/>
      <c r="G45" s="9"/>
      <c r="H45" s="9" t="str">
        <f t="shared" si="5"/>
        <v/>
      </c>
      <c r="I45" s="9"/>
      <c r="J45" s="9"/>
      <c r="K45" s="10" t="str">
        <f t="shared" si="1"/>
        <v/>
      </c>
      <c r="L45" s="10" t="str">
        <f t="shared" si="2"/>
        <v/>
      </c>
      <c r="M45" s="9" t="str">
        <f>IFERROR(
IF(A45="","",
IF(MONTH(C45)&lt;7,_xlfn.XLOOKUP(YEAR($C45),'[1]MSR-MHz-pop (input) (trial)'!$B:$B,'[1]MSR-MHz-pop (input) (trial)'!$AM:$AM),_xlfn.XLOOKUP(YEAR($C45)+1,'[1]MSR-MHz-pop (input) (trial)'!$B:$B,'[1]MSR-MHz-pop (input) (trial)'!$AM:$AM))
),"")</f>
        <v/>
      </c>
      <c r="N45" s="10" t="str">
        <f t="shared" si="3"/>
        <v/>
      </c>
      <c r="O45" s="10" t="str">
        <f t="shared" si="4"/>
        <v/>
      </c>
    </row>
    <row r="46" spans="2:15" x14ac:dyDescent="0.35">
      <c r="C46" s="15"/>
      <c r="D46" s="16"/>
      <c r="E46" s="8"/>
      <c r="F46" s="8"/>
      <c r="G46" s="9"/>
      <c r="H46" s="9" t="str">
        <f t="shared" si="5"/>
        <v/>
      </c>
      <c r="I46" s="9"/>
      <c r="J46" s="9"/>
      <c r="K46" s="10" t="str">
        <f t="shared" si="1"/>
        <v/>
      </c>
      <c r="L46" s="10" t="str">
        <f t="shared" si="2"/>
        <v/>
      </c>
      <c r="M46" s="9" t="str">
        <f>IFERROR(
IF(A46="","",
IF(MONTH(C46)&lt;7,_xlfn.XLOOKUP(YEAR($C46),'[1]MSR-MHz-pop (input) (trial)'!$B:$B,'[1]MSR-MHz-pop (input) (trial)'!$AM:$AM),_xlfn.XLOOKUP(YEAR($C46)+1,'[1]MSR-MHz-pop (input) (trial)'!$B:$B,'[1]MSR-MHz-pop (input) (trial)'!$AM:$AM))
),"")</f>
        <v/>
      </c>
      <c r="N46" s="10" t="str">
        <f t="shared" si="3"/>
        <v/>
      </c>
      <c r="O46" s="10" t="str">
        <f t="shared" si="4"/>
        <v/>
      </c>
    </row>
    <row r="47" spans="2:15" x14ac:dyDescent="0.35">
      <c r="C47" s="15"/>
      <c r="D47" s="16"/>
      <c r="E47" s="8"/>
      <c r="F47" s="8"/>
      <c r="G47" s="9"/>
      <c r="H47" s="9" t="str">
        <f t="shared" si="5"/>
        <v/>
      </c>
      <c r="I47" s="9"/>
      <c r="J47" s="9"/>
      <c r="K47" s="10" t="str">
        <f t="shared" si="1"/>
        <v/>
      </c>
      <c r="L47" s="10" t="str">
        <f t="shared" si="2"/>
        <v/>
      </c>
      <c r="M47" s="9" t="str">
        <f>IFERROR(
IF(A47="","",
IF(MONTH(C47)&lt;7,_xlfn.XLOOKUP(YEAR($C47),'[1]MSR-MHz-pop (input) (trial)'!$B:$B,'[1]MSR-MHz-pop (input) (trial)'!$AM:$AM),_xlfn.XLOOKUP(YEAR($C47)+1,'[1]MSR-MHz-pop (input) (trial)'!$B:$B,'[1]MSR-MHz-pop (input) (trial)'!$AM:$AM))
),"")</f>
        <v/>
      </c>
      <c r="N47" s="10" t="str">
        <f t="shared" si="3"/>
        <v/>
      </c>
      <c r="O47" s="10" t="str">
        <f t="shared" si="4"/>
        <v/>
      </c>
    </row>
    <row r="48" spans="2:15" x14ac:dyDescent="0.35">
      <c r="C48" s="15"/>
      <c r="D48" s="16"/>
      <c r="E48" s="8"/>
      <c r="F48" s="8"/>
      <c r="G48" s="9"/>
      <c r="H48" s="9" t="str">
        <f t="shared" si="5"/>
        <v/>
      </c>
      <c r="I48" s="9"/>
      <c r="J48" s="9"/>
      <c r="K48" s="10" t="str">
        <f t="shared" si="1"/>
        <v/>
      </c>
      <c r="L48" s="10" t="str">
        <f t="shared" si="2"/>
        <v/>
      </c>
      <c r="M48" s="9" t="str">
        <f>IFERROR(
IF(A48="","",
IF(MONTH(C48)&lt;7,_xlfn.XLOOKUP(YEAR($C48),'[1]MSR-MHz-pop (input) (trial)'!$B:$B,'[1]MSR-MHz-pop (input) (trial)'!$AM:$AM),_xlfn.XLOOKUP(YEAR($C48)+1,'[1]MSR-MHz-pop (input) (trial)'!$B:$B,'[1]MSR-MHz-pop (input) (trial)'!$AM:$AM))
),"")</f>
        <v/>
      </c>
      <c r="N48" s="10" t="str">
        <f t="shared" si="3"/>
        <v/>
      </c>
      <c r="O48" s="10" t="str">
        <f t="shared" si="4"/>
        <v/>
      </c>
    </row>
    <row r="49" spans="3:15" x14ac:dyDescent="0.35">
      <c r="C49" s="15"/>
      <c r="D49" s="16"/>
      <c r="E49" s="8"/>
      <c r="F49" s="8"/>
      <c r="G49" s="9"/>
      <c r="H49" s="9" t="str">
        <f t="shared" si="5"/>
        <v/>
      </c>
      <c r="I49" s="9"/>
      <c r="J49" s="9"/>
      <c r="K49" s="10" t="str">
        <f t="shared" si="1"/>
        <v/>
      </c>
      <c r="L49" s="10" t="str">
        <f t="shared" si="2"/>
        <v/>
      </c>
      <c r="M49" s="9" t="str">
        <f>IFERROR(
IF(A49="","",
IF(MONTH(C49)&lt;7,_xlfn.XLOOKUP(YEAR($C49),'[1]MSR-MHz-pop (input) (trial)'!$B:$B,'[1]MSR-MHz-pop (input) (trial)'!$AM:$AM),_xlfn.XLOOKUP(YEAR($C49)+1,'[1]MSR-MHz-pop (input) (trial)'!$B:$B,'[1]MSR-MHz-pop (input) (trial)'!$AM:$AM))
),"")</f>
        <v/>
      </c>
      <c r="N49" s="10" t="str">
        <f t="shared" si="3"/>
        <v/>
      </c>
      <c r="O49" s="10" t="str">
        <f t="shared" si="4"/>
        <v/>
      </c>
    </row>
    <row r="50" spans="3:15" x14ac:dyDescent="0.35">
      <c r="C50" s="15"/>
      <c r="D50" s="16"/>
      <c r="E50" s="8"/>
      <c r="F50" s="8"/>
      <c r="G50" s="9"/>
      <c r="H50" s="9" t="str">
        <f t="shared" si="5"/>
        <v/>
      </c>
      <c r="I50" s="9"/>
      <c r="J50" s="9"/>
      <c r="K50" s="10" t="str">
        <f t="shared" si="1"/>
        <v/>
      </c>
      <c r="L50" s="10" t="str">
        <f t="shared" si="2"/>
        <v/>
      </c>
      <c r="M50" s="9" t="str">
        <f>IFERROR(
IF(A50="","",
IF(MONTH(C50)&lt;7,_xlfn.XLOOKUP(YEAR($C50),'[1]MSR-MHz-pop (input) (trial)'!$B:$B,'[1]MSR-MHz-pop (input) (trial)'!$AM:$AM),_xlfn.XLOOKUP(YEAR($C50)+1,'[1]MSR-MHz-pop (input) (trial)'!$B:$B,'[1]MSR-MHz-pop (input) (trial)'!$AM:$AM))
),"")</f>
        <v/>
      </c>
      <c r="N50" s="10" t="str">
        <f t="shared" si="3"/>
        <v/>
      </c>
      <c r="O50" s="10" t="str">
        <f t="shared" si="4"/>
        <v/>
      </c>
    </row>
    <row r="51" spans="3:15" x14ac:dyDescent="0.35">
      <c r="C51" s="15"/>
      <c r="D51" s="16"/>
      <c r="E51" s="8"/>
      <c r="F51" s="8"/>
      <c r="G51" s="9"/>
      <c r="H51" s="9"/>
      <c r="I51" s="9"/>
      <c r="J51" s="9"/>
      <c r="K51" s="10"/>
      <c r="L51" s="10"/>
      <c r="M51" s="9"/>
      <c r="N51" s="10"/>
      <c r="O51" s="10"/>
    </row>
    <row r="52" spans="3:15" x14ac:dyDescent="0.35">
      <c r="C52" s="15"/>
      <c r="D52" s="16"/>
      <c r="E52" s="8"/>
      <c r="F52" s="8"/>
      <c r="G52" s="9"/>
      <c r="H52" s="9"/>
      <c r="I52" s="9"/>
      <c r="J52" s="9"/>
      <c r="K52" s="10"/>
      <c r="L52" s="10"/>
      <c r="M52" s="9"/>
      <c r="N52" s="10"/>
      <c r="O52" s="10"/>
    </row>
    <row r="53" spans="3:15" x14ac:dyDescent="0.35">
      <c r="C53" s="15"/>
      <c r="D53" s="16"/>
      <c r="E53" s="8"/>
      <c r="F53" s="8"/>
      <c r="G53" s="9"/>
      <c r="H53" s="9"/>
      <c r="I53" s="9"/>
      <c r="J53" s="9"/>
      <c r="K53" s="10"/>
      <c r="L53" s="10"/>
      <c r="M53" s="9"/>
      <c r="N53" s="10"/>
      <c r="O53" s="10"/>
    </row>
    <row r="54" spans="3:15" x14ac:dyDescent="0.35">
      <c r="C54" s="15"/>
      <c r="D54" s="16"/>
      <c r="E54" s="8"/>
      <c r="F54" s="8"/>
      <c r="G54" s="9"/>
      <c r="H54" s="9"/>
      <c r="I54" s="9"/>
      <c r="J54" s="9"/>
      <c r="K54" s="10"/>
      <c r="L54" s="10"/>
      <c r="M54" s="9"/>
      <c r="N54" s="10"/>
      <c r="O54" s="10"/>
    </row>
    <row r="55" spans="3:15" x14ac:dyDescent="0.35">
      <c r="C55" s="15"/>
      <c r="D55" s="16"/>
      <c r="E55" s="8"/>
      <c r="F55" s="8"/>
      <c r="G55" s="9"/>
      <c r="H55" s="9"/>
      <c r="I55" s="9"/>
      <c r="J55" s="9"/>
      <c r="K55" s="10"/>
      <c r="L55" s="10"/>
      <c r="M55" s="9"/>
      <c r="N55" s="10"/>
      <c r="O55" s="10"/>
    </row>
    <row r="56" spans="3:15" x14ac:dyDescent="0.35">
      <c r="C56" s="15"/>
      <c r="D56" s="16"/>
      <c r="E56" s="8"/>
      <c r="F56" s="8"/>
      <c r="G56" s="9"/>
      <c r="H56" s="9"/>
      <c r="I56" s="9"/>
      <c r="J56" s="9"/>
      <c r="K56" s="10"/>
      <c r="L56" s="10"/>
      <c r="M56" s="9"/>
      <c r="N56" s="10"/>
      <c r="O56" s="10"/>
    </row>
    <row r="57" spans="3:15" x14ac:dyDescent="0.35">
      <c r="C57" s="15"/>
      <c r="D57" s="16"/>
      <c r="E57" s="8"/>
      <c r="F57" s="8"/>
      <c r="G57" s="9"/>
      <c r="H57" s="9"/>
      <c r="I57" s="9"/>
      <c r="J57" s="9"/>
      <c r="K57" s="10"/>
      <c r="L57" s="10"/>
      <c r="M57" s="9"/>
      <c r="N57" s="10"/>
      <c r="O57" s="10"/>
    </row>
    <row r="58" spans="3:15" x14ac:dyDescent="0.35">
      <c r="C58" s="15"/>
      <c r="D58" s="16"/>
      <c r="E58" s="8"/>
      <c r="F58" s="8"/>
      <c r="G58" s="9"/>
      <c r="H58" s="9"/>
      <c r="I58" s="9"/>
      <c r="J58" s="9"/>
      <c r="K58" s="10"/>
      <c r="L58" s="10"/>
      <c r="M58" s="9"/>
      <c r="N58" s="10"/>
      <c r="O58" s="10"/>
    </row>
    <row r="59" spans="3:15" x14ac:dyDescent="0.35">
      <c r="C59" s="15"/>
      <c r="D59" s="16"/>
      <c r="E59" s="8"/>
      <c r="F59" s="8"/>
      <c r="G59" s="9"/>
      <c r="H59" s="9"/>
      <c r="I59" s="9"/>
      <c r="J59" s="9"/>
      <c r="K59" s="10"/>
      <c r="L59" s="10"/>
      <c r="M59" s="9"/>
      <c r="N59" s="10"/>
      <c r="O59" s="10"/>
    </row>
    <row r="60" spans="3:15" x14ac:dyDescent="0.35">
      <c r="C60" s="15"/>
      <c r="D60" s="16"/>
      <c r="E60" s="8"/>
      <c r="F60" s="8"/>
      <c r="G60" s="9"/>
      <c r="H60" s="9"/>
      <c r="I60" s="9"/>
      <c r="J60" s="9"/>
      <c r="K60" s="10"/>
      <c r="L60" s="10"/>
      <c r="M60" s="9"/>
      <c r="N60" s="10"/>
      <c r="O60" s="10"/>
    </row>
    <row r="61" spans="3:15" x14ac:dyDescent="0.35">
      <c r="C61" s="15"/>
      <c r="D61" s="16"/>
      <c r="E61" s="8"/>
      <c r="F61" s="8"/>
      <c r="G61" s="9"/>
      <c r="H61" s="9"/>
      <c r="I61" s="9"/>
      <c r="J61" s="9"/>
      <c r="K61" s="10"/>
      <c r="L61" s="10"/>
      <c r="M61" s="9"/>
      <c r="N61" s="10"/>
      <c r="O61" s="10"/>
    </row>
    <row r="62" spans="3:15" x14ac:dyDescent="0.35">
      <c r="C62" s="15"/>
      <c r="D62" s="16"/>
      <c r="E62" s="8"/>
      <c r="F62" s="8"/>
      <c r="G62" s="9"/>
      <c r="H62" s="9"/>
      <c r="I62" s="9"/>
      <c r="J62" s="9"/>
      <c r="K62" s="10"/>
      <c r="L62" s="10"/>
      <c r="M62" s="9"/>
      <c r="N62" s="10"/>
      <c r="O62" s="10"/>
    </row>
    <row r="63" spans="3:15" x14ac:dyDescent="0.35">
      <c r="C63" s="15"/>
      <c r="D63" s="16"/>
      <c r="E63" s="8"/>
      <c r="F63" s="8"/>
      <c r="G63" s="9"/>
      <c r="H63" s="9"/>
      <c r="I63" s="9"/>
      <c r="J63" s="9"/>
      <c r="K63" s="10"/>
      <c r="L63" s="10"/>
      <c r="M63" s="9"/>
      <c r="N63" s="10"/>
      <c r="O63" s="10"/>
    </row>
    <row r="64" spans="3:15" x14ac:dyDescent="0.35">
      <c r="C64" s="15"/>
      <c r="D64" s="16"/>
      <c r="E64" s="8"/>
      <c r="F64" s="8"/>
      <c r="G64" s="9"/>
      <c r="H64" s="9"/>
      <c r="I64" s="9"/>
      <c r="J64" s="9"/>
      <c r="K64" s="10"/>
      <c r="L64" s="10"/>
      <c r="M64" s="9"/>
      <c r="N64" s="10"/>
      <c r="O64" s="10"/>
    </row>
    <row r="65" spans="3:15" x14ac:dyDescent="0.35">
      <c r="C65" s="15"/>
      <c r="D65" s="16"/>
      <c r="E65" s="8"/>
      <c r="F65" s="8"/>
      <c r="G65" s="9"/>
      <c r="H65" s="9"/>
      <c r="I65" s="9"/>
      <c r="J65" s="9"/>
      <c r="K65" s="10"/>
      <c r="L65" s="10"/>
      <c r="M65" s="9"/>
      <c r="N65" s="10"/>
      <c r="O65" s="10"/>
    </row>
    <row r="66" spans="3:15" x14ac:dyDescent="0.35">
      <c r="C66" s="15"/>
      <c r="D66" s="16"/>
      <c r="E66" s="8"/>
      <c r="F66" s="8"/>
      <c r="G66" s="9"/>
      <c r="H66" s="9"/>
      <c r="I66" s="9"/>
      <c r="J66" s="9"/>
      <c r="K66" s="10"/>
      <c r="L66" s="10"/>
      <c r="M66" s="9"/>
      <c r="N66" s="10"/>
      <c r="O66" s="10"/>
    </row>
    <row r="67" spans="3:15" x14ac:dyDescent="0.35">
      <c r="C67" s="15"/>
      <c r="D67" s="16"/>
      <c r="E67" s="8"/>
      <c r="F67" s="8"/>
      <c r="G67" s="9"/>
      <c r="H67" s="9"/>
      <c r="I67" s="9"/>
      <c r="J67" s="9"/>
      <c r="K67" s="10"/>
      <c r="L67" s="10"/>
      <c r="M67" s="9"/>
      <c r="N67" s="10"/>
      <c r="O67" s="10"/>
    </row>
    <row r="68" spans="3:15" x14ac:dyDescent="0.35">
      <c r="C68" s="15"/>
      <c r="D68" s="16"/>
      <c r="E68" s="8"/>
      <c r="F68" s="8"/>
      <c r="G68" s="9"/>
      <c r="H68" s="9"/>
      <c r="I68" s="9"/>
      <c r="J68" s="9"/>
      <c r="K68" s="10"/>
      <c r="L68" s="10"/>
      <c r="M68" s="9"/>
      <c r="N68" s="10"/>
      <c r="O68" s="10"/>
    </row>
    <row r="69" spans="3:15" x14ac:dyDescent="0.35">
      <c r="C69" s="15"/>
      <c r="D69" s="16"/>
      <c r="E69" s="8"/>
      <c r="F69" s="8"/>
      <c r="G69" s="9"/>
      <c r="H69" s="9"/>
      <c r="I69" s="9"/>
      <c r="J69" s="9"/>
      <c r="K69" s="10"/>
      <c r="L69" s="10"/>
      <c r="M69" s="9"/>
      <c r="N69" s="10"/>
      <c r="O69" s="10"/>
    </row>
    <row r="70" spans="3:15" x14ac:dyDescent="0.35">
      <c r="C70" s="15"/>
      <c r="D70" s="16"/>
      <c r="E70" s="8"/>
      <c r="F70" s="8"/>
      <c r="G70" s="9"/>
      <c r="H70" s="9"/>
      <c r="I70" s="9"/>
      <c r="J70" s="9"/>
      <c r="K70" s="10"/>
      <c r="L70" s="10"/>
      <c r="M70" s="9"/>
      <c r="N70" s="10"/>
      <c r="O70" s="10"/>
    </row>
    <row r="71" spans="3:15" x14ac:dyDescent="0.35">
      <c r="C71" s="15"/>
      <c r="D71" s="16"/>
      <c r="E71" s="8"/>
      <c r="F71" s="8"/>
      <c r="G71" s="9"/>
      <c r="H71" s="9"/>
      <c r="I71" s="9"/>
      <c r="J71" s="9"/>
      <c r="K71" s="10"/>
      <c r="L71" s="10"/>
      <c r="M71" s="9"/>
      <c r="N71" s="10"/>
      <c r="O71" s="10"/>
    </row>
    <row r="72" spans="3:15" x14ac:dyDescent="0.35">
      <c r="C72" s="15"/>
      <c r="D72" s="16"/>
      <c r="E72" s="8"/>
      <c r="F72" s="8"/>
      <c r="G72" s="9"/>
      <c r="H72" s="9"/>
      <c r="I72" s="9"/>
      <c r="J72" s="9"/>
      <c r="K72" s="10"/>
      <c r="L72" s="10"/>
      <c r="M72" s="9"/>
      <c r="N72" s="10"/>
      <c r="O72" s="10"/>
    </row>
    <row r="73" spans="3:15" x14ac:dyDescent="0.35">
      <c r="C73" s="15"/>
      <c r="D73" s="16"/>
      <c r="E73" s="8"/>
      <c r="F73" s="8"/>
      <c r="G73" s="9"/>
      <c r="H73" s="9"/>
      <c r="I73" s="9"/>
      <c r="J73" s="9"/>
      <c r="K73" s="10"/>
      <c r="L73" s="10"/>
      <c r="M73" s="9"/>
      <c r="N73" s="10"/>
      <c r="O73" s="10"/>
    </row>
    <row r="74" spans="3:15" x14ac:dyDescent="0.35">
      <c r="C74" s="15"/>
      <c r="D74" s="16"/>
      <c r="E74" s="8"/>
      <c r="F74" s="8"/>
      <c r="G74" s="9"/>
      <c r="H74" s="9"/>
      <c r="I74" s="9"/>
      <c r="J74" s="9"/>
      <c r="K74" s="10"/>
      <c r="L74" s="10"/>
      <c r="M74" s="9"/>
      <c r="N74" s="10"/>
      <c r="O74" s="10"/>
    </row>
    <row r="75" spans="3:15" x14ac:dyDescent="0.35">
      <c r="C75" s="15"/>
      <c r="D75" s="16"/>
      <c r="E75" s="8"/>
      <c r="F75" s="8"/>
      <c r="G75" s="9"/>
      <c r="H75" s="9"/>
      <c r="I75" s="9"/>
      <c r="J75" s="9"/>
      <c r="K75" s="10"/>
      <c r="L75" s="10"/>
      <c r="M75" s="9"/>
      <c r="N75" s="10"/>
      <c r="O75" s="10"/>
    </row>
    <row r="76" spans="3:15" x14ac:dyDescent="0.35">
      <c r="C76" s="15"/>
      <c r="D76" s="16"/>
      <c r="E76" s="8"/>
      <c r="F76" s="8"/>
      <c r="G76" s="9"/>
      <c r="H76" s="9"/>
      <c r="I76" s="9"/>
      <c r="J76" s="9"/>
      <c r="K76" s="10"/>
      <c r="L76" s="10"/>
      <c r="M76" s="9"/>
      <c r="N76" s="10"/>
      <c r="O76" s="10"/>
    </row>
    <row r="77" spans="3:15" x14ac:dyDescent="0.35">
      <c r="C77" s="15"/>
      <c r="D77" s="16"/>
      <c r="E77" s="8"/>
      <c r="F77" s="8"/>
      <c r="G77" s="9"/>
      <c r="H77" s="9"/>
      <c r="I77" s="9"/>
      <c r="J77" s="9"/>
      <c r="K77" s="10"/>
      <c r="L77" s="10"/>
      <c r="M77" s="9"/>
      <c r="N77" s="10"/>
      <c r="O77" s="10"/>
    </row>
  </sheetData>
  <conditionalFormatting sqref="N1:O1048576 H1:H1048576">
    <cfRule type="cellIs" dxfId="1" priority="3" operator="notEqual">
      <formula>""</formula>
    </cfRule>
  </conditionalFormatting>
  <conditionalFormatting sqref="O2:O34">
    <cfRule type="colorScale" priority="1">
      <colorScale>
        <cfvo type="min"/>
        <cfvo type="percentile" val="50"/>
        <cfvo type="max"/>
        <color rgb="FF63BE7B"/>
        <color rgb="FFFFEB84"/>
        <color rgb="FFF8696B"/>
      </colorScale>
    </cfRule>
  </conditionalFormatting>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C7B9-5A43-4C35-81F7-78E2209218E3}">
  <dimension ref="A1:T78"/>
  <sheetViews>
    <sheetView workbookViewId="0"/>
  </sheetViews>
  <sheetFormatPr defaultRowHeight="14.5" x14ac:dyDescent="0.35"/>
  <cols>
    <col min="1" max="1" width="24.453125" style="12" customWidth="1"/>
    <col min="2" max="2" width="22.453125" style="13" customWidth="1"/>
    <col min="3" max="3" width="8.81640625" style="13" customWidth="1"/>
    <col min="4" max="4" width="27.54296875" style="13" bestFit="1" customWidth="1"/>
    <col min="5" max="6" width="16.1796875" style="13" customWidth="1"/>
    <col min="7" max="17" width="12.54296875" style="13" customWidth="1"/>
    <col min="18" max="19" width="8.7265625" style="12"/>
    <col min="20" max="20" width="8.7265625" style="3"/>
  </cols>
  <sheetData>
    <row r="1" spans="1:20" s="3" customFormat="1" ht="13" x14ac:dyDescent="0.3">
      <c r="A1" s="12"/>
      <c r="B1" s="13"/>
      <c r="C1" s="13"/>
      <c r="D1" s="13"/>
      <c r="E1" s="13"/>
      <c r="F1" s="13"/>
      <c r="G1" s="17" t="s">
        <v>174</v>
      </c>
      <c r="H1" s="17"/>
      <c r="I1" s="17"/>
      <c r="J1" s="17" t="s">
        <v>175</v>
      </c>
      <c r="K1" s="17"/>
      <c r="L1" s="17"/>
      <c r="M1" s="17"/>
      <c r="N1" s="17" t="s">
        <v>176</v>
      </c>
      <c r="O1" s="17"/>
      <c r="P1" s="17"/>
      <c r="Q1" s="17"/>
      <c r="R1" s="12"/>
      <c r="S1" s="12"/>
    </row>
    <row r="2" spans="1:20" s="2" customFormat="1" ht="39" x14ac:dyDescent="0.35">
      <c r="A2" s="5" t="s">
        <v>159</v>
      </c>
      <c r="B2" s="6" t="s">
        <v>160</v>
      </c>
      <c r="C2" s="6" t="s">
        <v>161</v>
      </c>
      <c r="D2" s="6" t="s">
        <v>162</v>
      </c>
      <c r="E2" s="6" t="s">
        <v>172</v>
      </c>
      <c r="F2" s="6" t="s">
        <v>173</v>
      </c>
      <c r="G2" s="6" t="s">
        <v>24</v>
      </c>
      <c r="H2" s="6" t="s">
        <v>25</v>
      </c>
      <c r="I2" s="6" t="s">
        <v>26</v>
      </c>
      <c r="J2" s="6" t="s">
        <v>24</v>
      </c>
      <c r="K2" s="6" t="s">
        <v>25</v>
      </c>
      <c r="L2" s="6" t="s">
        <v>26</v>
      </c>
      <c r="M2" s="6" t="s">
        <v>177</v>
      </c>
      <c r="N2" s="6" t="s">
        <v>24</v>
      </c>
      <c r="O2" s="6" t="s">
        <v>25</v>
      </c>
      <c r="P2" s="6" t="s">
        <v>26</v>
      </c>
      <c r="Q2" s="6" t="s">
        <v>177</v>
      </c>
      <c r="R2" s="13"/>
      <c r="S2" s="13"/>
      <c r="T2" s="16"/>
    </row>
    <row r="3" spans="1:20" x14ac:dyDescent="0.35">
      <c r="A3" s="12" t="e" cm="1">
        <f t="array" ref="A3">_xlfn._xlws.FILTER('[1]Step DB1 - Benchmarks'!$B:$C,('[1]Step DB1 - Benchmarks'!$D:$D=Introduction!#REF!) * ('[1]Step DB1 - Benchmarks'!$N:$N&lt;&gt;"-") * ('[1]Step DB1 - Benchmarks'!$K:$K&lt;&gt;"-"))</f>
        <v>#REF!</v>
      </c>
      <c r="B3" s="8"/>
      <c r="C3" s="15" t="e" cm="1">
        <f t="array" ref="C3">_xlfn._xlws.FILTER('[1]Step DB1 - Benchmarks'!$A:$A,('[1]Step DB1 - Benchmarks'!$D:$D=Introduction!#REF!) * ('[1]Step DB1 - Benchmarks'!$N:$N&lt;&gt;"-") * ('[1]Step DB1 - Benchmarks'!$K:$K&lt;&gt;"-"))</f>
        <v>#REF!</v>
      </c>
      <c r="D3" s="16" t="e" cm="1">
        <f t="array" ref="D3">_xlfn._xlws.FILTER('[1]Step DB1 - Benchmarks'!$F:$F,('[1]Step DB1 - Benchmarks'!$D:$D=Introduction!#REF!) * ('[1]Step DB1 - Benchmarks'!$N:$N&lt;&gt;"-") * ('[1]Step DB1 - Benchmarks'!$K:$K&lt;&gt;"-"))</f>
        <v>#REF!</v>
      </c>
      <c r="E3" s="10" t="e" cm="1">
        <f t="array" ref="E3">_xlfn._xlws.FILTER('DB2(1)-(3) - Conversion (I)'!$N:$O,('DB2(1)-(3) - Conversion (I)'!$C:$C&lt;&gt;"Year")*('DB2(1)-(3) - Conversion (I)'!$C:$C&lt;&gt;""))</f>
        <v>#REF!</v>
      </c>
      <c r="F3" s="10"/>
      <c r="G3" s="25" t="e" cm="1">
        <f t="array" ref="G3">_xlfn._xlws.FILTER('[1]Step DB1 - Benchmarks'!$W:$Y,('[1]Step DB1 - Benchmarks'!$D:$D=Introduction!#REF!) * ('[1]Step DB1 - Benchmarks'!$N:$N&lt;&gt;"-") * ('[1]Step DB1 - Benchmarks'!$K:$K&lt;&gt;"-"))</f>
        <v>#REF!</v>
      </c>
      <c r="H3" s="26"/>
      <c r="I3" s="27"/>
      <c r="J3" s="27" t="e">
        <f>IF($A3="","",IF(G3&lt;=_xlfn.XLOOKUP(YEAR($C3),'[1]Australia - Weights'!$A:$A,'[1]Australia - Weights'!B:B),
G3/_xlfn.XLOOKUP(YEAR($C3),'[1]Australia - Weights'!$A:$A,'[1]Australia - Weights'!B:B),
_xlfn.XLOOKUP(YEAR($C3),'[1]Australia - Weights'!$A:$A,'[1]Australia - Weights'!B:B)/G3))</f>
        <v>#REF!</v>
      </c>
      <c r="K3" s="27" t="e">
        <f>IF($A3="","",IF(H3&lt;=_xlfn.XLOOKUP(YEAR($C3),'[1]Australia - Weights'!$A:$A,'[1]Australia - Weights'!C:C),
H3/_xlfn.XLOOKUP(YEAR($C3),'[1]Australia - Weights'!$A:$A,'[1]Australia - Weights'!C:C),
_xlfn.XLOOKUP(YEAR($C3),'[1]Australia - Weights'!$A:$A,'[1]Australia - Weights'!C:C)/H3))</f>
        <v>#REF!</v>
      </c>
      <c r="L3" s="27" t="e">
        <f>IF($A3="","",IF(I3&lt;=_xlfn.XLOOKUP(YEAR($C3),'[1]Australia - Weights'!$A:$A,'[1]Australia - Weights'!D:D),
I3/_xlfn.XLOOKUP(YEAR($C3),'[1]Australia - Weights'!$A:$A,'[1]Australia - Weights'!D:D),
_xlfn.XLOOKUP(YEAR($C3),'[1]Australia - Weights'!$A:$A,'[1]Australia - Weights'!D:D)/I3))</f>
        <v>#REF!</v>
      </c>
      <c r="M3" s="19" t="e">
        <f>IF(A3="","",AVERAGE(J3:L3))</f>
        <v>#REF!</v>
      </c>
      <c r="N3" s="19" t="e">
        <f>IF($A3="","",IF(G3&lt;=_xlfn.XLOOKUP(YEAR($C3),'[1]Australia - Weights'!$A:$A,'[1]Australia - Weights'!B:B),
LN(G3)/LN(_xlfn.XLOOKUP(YEAR($C3),'[1]Australia - Weights'!$A:$A,'[1]Australia - Weights'!B:B)),
LN(_xlfn.XLOOKUP(YEAR($C3),'[1]Australia - Weights'!$A:$A,'[1]Australia - Weights'!B:B))/LN(G3)))</f>
        <v>#REF!</v>
      </c>
      <c r="O3" s="19" t="e">
        <f>IF($A3="","",IF(H3&lt;=_xlfn.XLOOKUP(YEAR($C3),'[1]Australia - Weights'!$A:$A,'[1]Australia - Weights'!C:C),
LN(H3)/LN(_xlfn.XLOOKUP(YEAR($C3),'[1]Australia - Weights'!$A:$A,'[1]Australia - Weights'!C:C)),
LN(_xlfn.XLOOKUP(YEAR($C3),'[1]Australia - Weights'!$A:$A,'[1]Australia - Weights'!C:C))/LN(H3)))</f>
        <v>#REF!</v>
      </c>
      <c r="P3" s="19" t="e">
        <f>IF($A3="","",IF(I3&lt;=_xlfn.XLOOKUP(YEAR($C3),'[1]Australia - Weights'!$A:$A,'[1]Australia - Weights'!D:D),
LN(I3)/LN(_xlfn.XLOOKUP(YEAR($C3),'[1]Australia - Weights'!$A:$A,'[1]Australia - Weights'!D:D)),
LN(_xlfn.XLOOKUP(YEAR($C3),'[1]Australia - Weights'!$A:$A,'[1]Australia - Weights'!D:D))/LN(I3)))</f>
        <v>#REF!</v>
      </c>
      <c r="Q3" s="19" t="e">
        <f t="shared" ref="Q3:Q30" si="0">IF(E3="","",AVERAGE(N3:P3))</f>
        <v>#REF!</v>
      </c>
    </row>
    <row r="4" spans="1:20" x14ac:dyDescent="0.35">
      <c r="B4" s="8"/>
      <c r="C4" s="15"/>
      <c r="D4" s="16"/>
      <c r="E4" s="10"/>
      <c r="F4" s="10"/>
      <c r="G4" s="25"/>
      <c r="H4" s="26"/>
      <c r="I4" s="27"/>
      <c r="J4" s="27" t="str">
        <f>IF($A4="","",IF(G4&lt;=_xlfn.XLOOKUP(YEAR($C4),'[1]Australia - Weights'!$A:$A,'[1]Australia - Weights'!B:B),
G4/_xlfn.XLOOKUP(YEAR($C4),'[1]Australia - Weights'!$A:$A,'[1]Australia - Weights'!B:B),
_xlfn.XLOOKUP(YEAR($C4),'[1]Australia - Weights'!$A:$A,'[1]Australia - Weights'!B:B)/G4))</f>
        <v/>
      </c>
      <c r="K4" s="27" t="str">
        <f>IF($A4="","",IF(H4&lt;=_xlfn.XLOOKUP(YEAR($C4),'[1]Australia - Weights'!$A:$A,'[1]Australia - Weights'!C:C),
H4/_xlfn.XLOOKUP(YEAR($C4),'[1]Australia - Weights'!$A:$A,'[1]Australia - Weights'!C:C),
_xlfn.XLOOKUP(YEAR($C4),'[1]Australia - Weights'!$A:$A,'[1]Australia - Weights'!C:C)/H4))</f>
        <v/>
      </c>
      <c r="L4" s="27" t="str">
        <f>IF($A4="","",IF(I4&lt;=_xlfn.XLOOKUP(YEAR($C4),'[1]Australia - Weights'!$A:$A,'[1]Australia - Weights'!D:D),
I4/_xlfn.XLOOKUP(YEAR($C4),'[1]Australia - Weights'!$A:$A,'[1]Australia - Weights'!D:D),
_xlfn.XLOOKUP(YEAR($C4),'[1]Australia - Weights'!$A:$A,'[1]Australia - Weights'!D:D)/I4))</f>
        <v/>
      </c>
      <c r="M4" s="19" t="str">
        <f t="shared" ref="M4:M30" si="1">IF(A4="","",AVERAGE(J4:L4))</f>
        <v/>
      </c>
      <c r="N4" s="19" t="str">
        <f>IF($A4="","",IF(G4&lt;=_xlfn.XLOOKUP(YEAR($C4),'[1]Australia - Weights'!$A:$A,'[1]Australia - Weights'!B:B),
LN(G4)/LN(_xlfn.XLOOKUP(YEAR($C4),'[1]Australia - Weights'!$A:$A,'[1]Australia - Weights'!B:B)),
LN(_xlfn.XLOOKUP(YEAR($C4),'[1]Australia - Weights'!$A:$A,'[1]Australia - Weights'!B:B))/LN(G4)))</f>
        <v/>
      </c>
      <c r="O4" s="19" t="str">
        <f>IF($A4="","",IF(H4&lt;=_xlfn.XLOOKUP(YEAR($C4),'[1]Australia - Weights'!$A:$A,'[1]Australia - Weights'!C:C),
LN(H4)/LN(_xlfn.XLOOKUP(YEAR($C4),'[1]Australia - Weights'!$A:$A,'[1]Australia - Weights'!C:C)),
LN(_xlfn.XLOOKUP(YEAR($C4),'[1]Australia - Weights'!$A:$A,'[1]Australia - Weights'!C:C))/LN(H4)))</f>
        <v/>
      </c>
      <c r="P4" s="19" t="str">
        <f>IF($A4="","",IF(I4&lt;=_xlfn.XLOOKUP(YEAR($C4),'[1]Australia - Weights'!$A:$A,'[1]Australia - Weights'!D:D),
LN(I4)/LN(_xlfn.XLOOKUP(YEAR($C4),'[1]Australia - Weights'!$A:$A,'[1]Australia - Weights'!D:D)),
LN(_xlfn.XLOOKUP(YEAR($C4),'[1]Australia - Weights'!$A:$A,'[1]Australia - Weights'!D:D))/LN(I4)))</f>
        <v/>
      </c>
      <c r="Q4" s="19" t="str">
        <f t="shared" si="0"/>
        <v/>
      </c>
    </row>
    <row r="5" spans="1:20" x14ac:dyDescent="0.35">
      <c r="B5" s="8"/>
      <c r="C5" s="15"/>
      <c r="D5" s="16"/>
      <c r="E5" s="10"/>
      <c r="F5" s="10"/>
      <c r="G5" s="25"/>
      <c r="H5" s="26"/>
      <c r="I5" s="27"/>
      <c r="J5" s="27" t="str">
        <f>IF($A5="","",IF(G5&lt;=_xlfn.XLOOKUP(YEAR($C5),'[1]Australia - Weights'!$A:$A,'[1]Australia - Weights'!B:B),
G5/_xlfn.XLOOKUP(YEAR($C5),'[1]Australia - Weights'!$A:$A,'[1]Australia - Weights'!B:B),
_xlfn.XLOOKUP(YEAR($C5),'[1]Australia - Weights'!$A:$A,'[1]Australia - Weights'!B:B)/G5))</f>
        <v/>
      </c>
      <c r="K5" s="27" t="str">
        <f>IF($A5="","",IF(H5&lt;=_xlfn.XLOOKUP(YEAR($C5),'[1]Australia - Weights'!$A:$A,'[1]Australia - Weights'!C:C),
H5/_xlfn.XLOOKUP(YEAR($C5),'[1]Australia - Weights'!$A:$A,'[1]Australia - Weights'!C:C),
_xlfn.XLOOKUP(YEAR($C5),'[1]Australia - Weights'!$A:$A,'[1]Australia - Weights'!C:C)/H5))</f>
        <v/>
      </c>
      <c r="L5" s="27" t="str">
        <f>IF($A5="","",IF(I5&lt;=_xlfn.XLOOKUP(YEAR($C5),'[1]Australia - Weights'!$A:$A,'[1]Australia - Weights'!D:D),
I5/_xlfn.XLOOKUP(YEAR($C5),'[1]Australia - Weights'!$A:$A,'[1]Australia - Weights'!D:D),
_xlfn.XLOOKUP(YEAR($C5),'[1]Australia - Weights'!$A:$A,'[1]Australia - Weights'!D:D)/I5))</f>
        <v/>
      </c>
      <c r="M5" s="19" t="str">
        <f t="shared" si="1"/>
        <v/>
      </c>
      <c r="N5" s="19" t="str">
        <f>IF($A5="","",IF(G5&lt;=_xlfn.XLOOKUP(YEAR($C5),'[1]Australia - Weights'!$A:$A,'[1]Australia - Weights'!B:B),
LN(G5)/LN(_xlfn.XLOOKUP(YEAR($C5),'[1]Australia - Weights'!$A:$A,'[1]Australia - Weights'!B:B)),
LN(_xlfn.XLOOKUP(YEAR($C5),'[1]Australia - Weights'!$A:$A,'[1]Australia - Weights'!B:B))/LN(G5)))</f>
        <v/>
      </c>
      <c r="O5" s="19" t="str">
        <f>IF($A5="","",IF(H5&lt;=_xlfn.XLOOKUP(YEAR($C5),'[1]Australia - Weights'!$A:$A,'[1]Australia - Weights'!C:C),
LN(H5)/LN(_xlfn.XLOOKUP(YEAR($C5),'[1]Australia - Weights'!$A:$A,'[1]Australia - Weights'!C:C)),
LN(_xlfn.XLOOKUP(YEAR($C5),'[1]Australia - Weights'!$A:$A,'[1]Australia - Weights'!C:C))/LN(H5)))</f>
        <v/>
      </c>
      <c r="P5" s="19" t="str">
        <f>IF($A5="","",IF(I5&lt;=_xlfn.XLOOKUP(YEAR($C5),'[1]Australia - Weights'!$A:$A,'[1]Australia - Weights'!D:D),
LN(I5)/LN(_xlfn.XLOOKUP(YEAR($C5),'[1]Australia - Weights'!$A:$A,'[1]Australia - Weights'!D:D)),
LN(_xlfn.XLOOKUP(YEAR($C5),'[1]Australia - Weights'!$A:$A,'[1]Australia - Weights'!D:D))/LN(I5)))</f>
        <v/>
      </c>
      <c r="Q5" s="19" t="str">
        <f t="shared" si="0"/>
        <v/>
      </c>
    </row>
    <row r="6" spans="1:20" x14ac:dyDescent="0.35">
      <c r="B6" s="8"/>
      <c r="C6" s="15"/>
      <c r="D6" s="16"/>
      <c r="E6" s="10"/>
      <c r="F6" s="10"/>
      <c r="G6" s="22"/>
      <c r="H6" s="23"/>
      <c r="I6" s="24"/>
      <c r="J6" s="24" t="str">
        <f>IF($A6="","",IF(G6&lt;=_xlfn.XLOOKUP(YEAR($C6),'[1]Australia - Weights'!$A:$A,'[1]Australia - Weights'!B:B),
G6/_xlfn.XLOOKUP(YEAR($C6),'[1]Australia - Weights'!$A:$A,'[1]Australia - Weights'!B:B),
_xlfn.XLOOKUP(YEAR($C6),'[1]Australia - Weights'!$A:$A,'[1]Australia - Weights'!B:B)/G6))</f>
        <v/>
      </c>
      <c r="K6" s="24" t="str">
        <f>IF($A6="","",IF(H6&lt;=_xlfn.XLOOKUP(YEAR($C6),'[1]Australia - Weights'!$A:$A,'[1]Australia - Weights'!C:C),
H6/_xlfn.XLOOKUP(YEAR($C6),'[1]Australia - Weights'!$A:$A,'[1]Australia - Weights'!C:C),
_xlfn.XLOOKUP(YEAR($C6),'[1]Australia - Weights'!$A:$A,'[1]Australia - Weights'!C:C)/H6))</f>
        <v/>
      </c>
      <c r="L6" s="24" t="str">
        <f>IF($A6="","",IF(I6&lt;=_xlfn.XLOOKUP(YEAR($C6),'[1]Australia - Weights'!$A:$A,'[1]Australia - Weights'!D:D),
I6/_xlfn.XLOOKUP(YEAR($C6),'[1]Australia - Weights'!$A:$A,'[1]Australia - Weights'!D:D),
_xlfn.XLOOKUP(YEAR($C6),'[1]Australia - Weights'!$A:$A,'[1]Australia - Weights'!D:D)/I6))</f>
        <v/>
      </c>
      <c r="M6" s="19" t="str">
        <f>IF(A6="","",AVERAGE(J6:L6))</f>
        <v/>
      </c>
      <c r="N6" s="19" t="str">
        <f>IF($A6="","",IF(G6&lt;=_xlfn.XLOOKUP(YEAR($C6),'[1]Australia - Weights'!$A:$A,'[1]Australia - Weights'!B:B),
LN(G6)/LN(_xlfn.XLOOKUP(YEAR($C6),'[1]Australia - Weights'!$A:$A,'[1]Australia - Weights'!B:B)),
LN(_xlfn.XLOOKUP(YEAR($C6),'[1]Australia - Weights'!$A:$A,'[1]Australia - Weights'!B:B))/LN(G6)))</f>
        <v/>
      </c>
      <c r="O6" s="19" t="str">
        <f>IF($A6="","",IF(H6&lt;=_xlfn.XLOOKUP(YEAR($C6),'[1]Australia - Weights'!$A:$A,'[1]Australia - Weights'!C:C),
LN(H6)/LN(_xlfn.XLOOKUP(YEAR($C6),'[1]Australia - Weights'!$A:$A,'[1]Australia - Weights'!C:C)),
LN(_xlfn.XLOOKUP(YEAR($C6),'[1]Australia - Weights'!$A:$A,'[1]Australia - Weights'!C:C))/LN(H6)))</f>
        <v/>
      </c>
      <c r="P6" s="19" t="str">
        <f>IF($A6="","",IF(I6&lt;=_xlfn.XLOOKUP(YEAR($C6),'[1]Australia - Weights'!$A:$A,'[1]Australia - Weights'!D:D),
LN(I6)/LN(_xlfn.XLOOKUP(YEAR($C6),'[1]Australia - Weights'!$A:$A,'[1]Australia - Weights'!D:D)),
LN(_xlfn.XLOOKUP(YEAR($C6),'[1]Australia - Weights'!$A:$A,'[1]Australia - Weights'!D:D))/LN(I6)))</f>
        <v/>
      </c>
      <c r="Q6" s="19" t="str">
        <f t="shared" si="0"/>
        <v/>
      </c>
    </row>
    <row r="7" spans="1:20" ht="15" customHeight="1" x14ac:dyDescent="0.35">
      <c r="B7" s="8"/>
      <c r="C7" s="15"/>
      <c r="D7" s="16"/>
      <c r="E7" s="10"/>
      <c r="F7" s="10"/>
      <c r="G7" s="18"/>
      <c r="I7" s="19"/>
      <c r="J7" s="19" t="str">
        <f>IF($A7="","",IF(G7&lt;=_xlfn.XLOOKUP(YEAR($C7),'[1]Australia - Weights'!$A:$A,'[1]Australia - Weights'!B:B),
G7/_xlfn.XLOOKUP(YEAR($C7),'[1]Australia - Weights'!$A:$A,'[1]Australia - Weights'!B:B),
_xlfn.XLOOKUP(YEAR($C7),'[1]Australia - Weights'!$A:$A,'[1]Australia - Weights'!B:B)/G7))</f>
        <v/>
      </c>
      <c r="K7" s="19" t="str">
        <f>IF($A7="","",IF(H7&lt;=_xlfn.XLOOKUP(YEAR($C7),'[1]Australia - Weights'!$A:$A,'[1]Australia - Weights'!C:C),
H7/_xlfn.XLOOKUP(YEAR($C7),'[1]Australia - Weights'!$A:$A,'[1]Australia - Weights'!C:C),
_xlfn.XLOOKUP(YEAR($C7),'[1]Australia - Weights'!$A:$A,'[1]Australia - Weights'!C:C)/H7))</f>
        <v/>
      </c>
      <c r="L7" s="19" t="str">
        <f>IF($A7="","",IF(I7&lt;=_xlfn.XLOOKUP(YEAR($C7),'[1]Australia - Weights'!$A:$A,'[1]Australia - Weights'!D:D),
I7/_xlfn.XLOOKUP(YEAR($C7),'[1]Australia - Weights'!$A:$A,'[1]Australia - Weights'!D:D),
_xlfn.XLOOKUP(YEAR($C7),'[1]Australia - Weights'!$A:$A,'[1]Australia - Weights'!D:D)/I7))</f>
        <v/>
      </c>
      <c r="M7" s="19" t="str">
        <f t="shared" si="1"/>
        <v/>
      </c>
      <c r="N7" s="19" t="str">
        <f>IF($A7="","",IF(G7&lt;=_xlfn.XLOOKUP(YEAR($C7),'[1]Australia - Weights'!$A:$A,'[1]Australia - Weights'!B:B),
LN(G7)/LN(_xlfn.XLOOKUP(YEAR($C7),'[1]Australia - Weights'!$A:$A,'[1]Australia - Weights'!B:B)),
LN(_xlfn.XLOOKUP(YEAR($C7),'[1]Australia - Weights'!$A:$A,'[1]Australia - Weights'!B:B))/LN(G7)))</f>
        <v/>
      </c>
      <c r="O7" s="19" t="str">
        <f>IF($A7="","",IF(H7&lt;=_xlfn.XLOOKUP(YEAR($C7),'[1]Australia - Weights'!$A:$A,'[1]Australia - Weights'!C:C),
LN(H7)/LN(_xlfn.XLOOKUP(YEAR($C7),'[1]Australia - Weights'!$A:$A,'[1]Australia - Weights'!C:C)),
LN(_xlfn.XLOOKUP(YEAR($C7),'[1]Australia - Weights'!$A:$A,'[1]Australia - Weights'!C:C))/LN(H7)))</f>
        <v/>
      </c>
      <c r="P7" s="19" t="str">
        <f>IF($A7="","",IF(I7&lt;=_xlfn.XLOOKUP(YEAR($C7),'[1]Australia - Weights'!$A:$A,'[1]Australia - Weights'!D:D),
LN(I7)/LN(_xlfn.XLOOKUP(YEAR($C7),'[1]Australia - Weights'!$A:$A,'[1]Australia - Weights'!D:D)),
LN(_xlfn.XLOOKUP(YEAR($C7),'[1]Australia - Weights'!$A:$A,'[1]Australia - Weights'!D:D))/LN(I7)))</f>
        <v/>
      </c>
      <c r="Q7" s="19" t="str">
        <f t="shared" si="0"/>
        <v/>
      </c>
    </row>
    <row r="8" spans="1:20" x14ac:dyDescent="0.35">
      <c r="B8" s="8"/>
      <c r="C8" s="15"/>
      <c r="D8" s="16"/>
      <c r="E8" s="10"/>
      <c r="F8" s="10"/>
      <c r="G8" s="18"/>
      <c r="I8" s="19"/>
      <c r="J8" s="19" t="str">
        <f>IF($A8="","",IF(G8&lt;=_xlfn.XLOOKUP(YEAR($C8),'[1]Australia - Weights'!$A:$A,'[1]Australia - Weights'!B:B),
G8/_xlfn.XLOOKUP(YEAR($C8),'[1]Australia - Weights'!$A:$A,'[1]Australia - Weights'!B:B),
_xlfn.XLOOKUP(YEAR($C8),'[1]Australia - Weights'!$A:$A,'[1]Australia - Weights'!B:B)/G8))</f>
        <v/>
      </c>
      <c r="K8" s="19" t="str">
        <f>IF($A8="","",IF(H8&lt;=_xlfn.XLOOKUP(YEAR($C8),'[1]Australia - Weights'!$A:$A,'[1]Australia - Weights'!C:C),
H8/_xlfn.XLOOKUP(YEAR($C8),'[1]Australia - Weights'!$A:$A,'[1]Australia - Weights'!C:C),
_xlfn.XLOOKUP(YEAR($C8),'[1]Australia - Weights'!$A:$A,'[1]Australia - Weights'!C:C)/H8))</f>
        <v/>
      </c>
      <c r="L8" s="19" t="str">
        <f>IF($A8="","",IF(I8&lt;=_xlfn.XLOOKUP(YEAR($C8),'[1]Australia - Weights'!$A:$A,'[1]Australia - Weights'!D:D),
I8/_xlfn.XLOOKUP(YEAR($C8),'[1]Australia - Weights'!$A:$A,'[1]Australia - Weights'!D:D),
_xlfn.XLOOKUP(YEAR($C8),'[1]Australia - Weights'!$A:$A,'[1]Australia - Weights'!D:D)/I8))</f>
        <v/>
      </c>
      <c r="M8" s="19" t="str">
        <f t="shared" si="1"/>
        <v/>
      </c>
      <c r="N8" s="19" t="str">
        <f>IF($A8="","",IF(G8&lt;=_xlfn.XLOOKUP(YEAR($C8),'[1]Australia - Weights'!$A:$A,'[1]Australia - Weights'!B:B),
LN(G8)/LN(_xlfn.XLOOKUP(YEAR($C8),'[1]Australia - Weights'!$A:$A,'[1]Australia - Weights'!B:B)),
LN(_xlfn.XLOOKUP(YEAR($C8),'[1]Australia - Weights'!$A:$A,'[1]Australia - Weights'!B:B))/LN(G8)))</f>
        <v/>
      </c>
      <c r="O8" s="19" t="str">
        <f>IF($A8="","",IF(H8&lt;=_xlfn.XLOOKUP(YEAR($C8),'[1]Australia - Weights'!$A:$A,'[1]Australia - Weights'!C:C),
LN(H8)/LN(_xlfn.XLOOKUP(YEAR($C8),'[1]Australia - Weights'!$A:$A,'[1]Australia - Weights'!C:C)),
LN(_xlfn.XLOOKUP(YEAR($C8),'[1]Australia - Weights'!$A:$A,'[1]Australia - Weights'!C:C))/LN(H8)))</f>
        <v/>
      </c>
      <c r="P8" s="19" t="str">
        <f>IF($A8="","",IF(I8&lt;=_xlfn.XLOOKUP(YEAR($C8),'[1]Australia - Weights'!$A:$A,'[1]Australia - Weights'!D:D),
LN(I8)/LN(_xlfn.XLOOKUP(YEAR($C8),'[1]Australia - Weights'!$A:$A,'[1]Australia - Weights'!D:D)),
LN(_xlfn.XLOOKUP(YEAR($C8),'[1]Australia - Weights'!$A:$A,'[1]Australia - Weights'!D:D))/LN(I8)))</f>
        <v/>
      </c>
      <c r="Q8" s="19" t="str">
        <f t="shared" si="0"/>
        <v/>
      </c>
    </row>
    <row r="9" spans="1:20" ht="15" customHeight="1" x14ac:dyDescent="0.35">
      <c r="B9" s="8"/>
      <c r="C9" s="15"/>
      <c r="D9" s="16"/>
      <c r="E9" s="10"/>
      <c r="F9" s="10"/>
      <c r="G9" s="18"/>
      <c r="I9" s="19"/>
      <c r="J9" s="19" t="str">
        <f>IF($A9="","",IF(G9&lt;=_xlfn.XLOOKUP(YEAR($C9),'[1]Australia - Weights'!$A:$A,'[1]Australia - Weights'!B:B),
G9/_xlfn.XLOOKUP(YEAR($C9),'[1]Australia - Weights'!$A:$A,'[1]Australia - Weights'!B:B),
_xlfn.XLOOKUP(YEAR($C9),'[1]Australia - Weights'!$A:$A,'[1]Australia - Weights'!B:B)/G9))</f>
        <v/>
      </c>
      <c r="K9" s="19" t="str">
        <f>IF($A9="","",IF(H9&lt;=_xlfn.XLOOKUP(YEAR($C9),'[1]Australia - Weights'!$A:$A,'[1]Australia - Weights'!C:C),
H9/_xlfn.XLOOKUP(YEAR($C9),'[1]Australia - Weights'!$A:$A,'[1]Australia - Weights'!C:C),
_xlfn.XLOOKUP(YEAR($C9),'[1]Australia - Weights'!$A:$A,'[1]Australia - Weights'!C:C)/H9))</f>
        <v/>
      </c>
      <c r="L9" s="19" t="str">
        <f>IF($A9="","",IF(I9&lt;=_xlfn.XLOOKUP(YEAR($C9),'[1]Australia - Weights'!$A:$A,'[1]Australia - Weights'!D:D),
I9/_xlfn.XLOOKUP(YEAR($C9),'[1]Australia - Weights'!$A:$A,'[1]Australia - Weights'!D:D),
_xlfn.XLOOKUP(YEAR($C9),'[1]Australia - Weights'!$A:$A,'[1]Australia - Weights'!D:D)/I9))</f>
        <v/>
      </c>
      <c r="M9" s="19" t="str">
        <f t="shared" si="1"/>
        <v/>
      </c>
      <c r="N9" s="19" t="str">
        <f>IF($A9="","",IF(G9&lt;=_xlfn.XLOOKUP(YEAR($C9),'[1]Australia - Weights'!$A:$A,'[1]Australia - Weights'!B:B),
LN(G9)/LN(_xlfn.XLOOKUP(YEAR($C9),'[1]Australia - Weights'!$A:$A,'[1]Australia - Weights'!B:B)),
LN(_xlfn.XLOOKUP(YEAR($C9),'[1]Australia - Weights'!$A:$A,'[1]Australia - Weights'!B:B))/LN(G9)))</f>
        <v/>
      </c>
      <c r="O9" s="19" t="str">
        <f>IF($A9="","",IF(H9&lt;=_xlfn.XLOOKUP(YEAR($C9),'[1]Australia - Weights'!$A:$A,'[1]Australia - Weights'!C:C),
LN(H9)/LN(_xlfn.XLOOKUP(YEAR($C9),'[1]Australia - Weights'!$A:$A,'[1]Australia - Weights'!C:C)),
LN(_xlfn.XLOOKUP(YEAR($C9),'[1]Australia - Weights'!$A:$A,'[1]Australia - Weights'!C:C))/LN(H9)))</f>
        <v/>
      </c>
      <c r="P9" s="19" t="str">
        <f>IF($A9="","",IF(I9&lt;=_xlfn.XLOOKUP(YEAR($C9),'[1]Australia - Weights'!$A:$A,'[1]Australia - Weights'!D:D),
LN(I9)/LN(_xlfn.XLOOKUP(YEAR($C9),'[1]Australia - Weights'!$A:$A,'[1]Australia - Weights'!D:D)),
LN(_xlfn.XLOOKUP(YEAR($C9),'[1]Australia - Weights'!$A:$A,'[1]Australia - Weights'!D:D))/LN(I9)))</f>
        <v/>
      </c>
      <c r="Q9" s="19" t="str">
        <f t="shared" si="0"/>
        <v/>
      </c>
    </row>
    <row r="10" spans="1:20" x14ac:dyDescent="0.35">
      <c r="B10" s="8"/>
      <c r="C10" s="15"/>
      <c r="D10" s="16"/>
      <c r="E10" s="10"/>
      <c r="F10" s="10"/>
      <c r="G10" s="18"/>
      <c r="I10" s="19"/>
      <c r="J10" s="19" t="str">
        <f>IF($A10="","",IF(G10&lt;=_xlfn.XLOOKUP(YEAR($C10),'[1]Australia - Weights'!$A:$A,'[1]Australia - Weights'!B:B),
G10/_xlfn.XLOOKUP(YEAR($C10),'[1]Australia - Weights'!$A:$A,'[1]Australia - Weights'!B:B),
_xlfn.XLOOKUP(YEAR($C10),'[1]Australia - Weights'!$A:$A,'[1]Australia - Weights'!B:B)/G10))</f>
        <v/>
      </c>
      <c r="K10" s="19" t="str">
        <f>IF($A10="","",IF(H10&lt;=_xlfn.XLOOKUP(YEAR($C10),'[1]Australia - Weights'!$A:$A,'[1]Australia - Weights'!C:C),
H10/_xlfn.XLOOKUP(YEAR($C10),'[1]Australia - Weights'!$A:$A,'[1]Australia - Weights'!C:C),
_xlfn.XLOOKUP(YEAR($C10),'[1]Australia - Weights'!$A:$A,'[1]Australia - Weights'!C:C)/H10))</f>
        <v/>
      </c>
      <c r="L10" s="19" t="str">
        <f>IF($A10="","",IF(I10&lt;=_xlfn.XLOOKUP(YEAR($C10),'[1]Australia - Weights'!$A:$A,'[1]Australia - Weights'!D:D),
I10/_xlfn.XLOOKUP(YEAR($C10),'[1]Australia - Weights'!$A:$A,'[1]Australia - Weights'!D:D),
_xlfn.XLOOKUP(YEAR($C10),'[1]Australia - Weights'!$A:$A,'[1]Australia - Weights'!D:D)/I10))</f>
        <v/>
      </c>
      <c r="M10" s="19" t="str">
        <f t="shared" si="1"/>
        <v/>
      </c>
      <c r="N10" s="19" t="str">
        <f>IF($A10="","",IF(G10&lt;=_xlfn.XLOOKUP(YEAR($C10),'[1]Australia - Weights'!$A:$A,'[1]Australia - Weights'!B:B),
LN(G10)/LN(_xlfn.XLOOKUP(YEAR($C10),'[1]Australia - Weights'!$A:$A,'[1]Australia - Weights'!B:B)),
LN(_xlfn.XLOOKUP(YEAR($C10),'[1]Australia - Weights'!$A:$A,'[1]Australia - Weights'!B:B))/LN(G10)))</f>
        <v/>
      </c>
      <c r="O10" s="19" t="str">
        <f>IF($A10="","",IF(H10&lt;=_xlfn.XLOOKUP(YEAR($C10),'[1]Australia - Weights'!$A:$A,'[1]Australia - Weights'!C:C),
LN(H10)/LN(_xlfn.XLOOKUP(YEAR($C10),'[1]Australia - Weights'!$A:$A,'[1]Australia - Weights'!C:C)),
LN(_xlfn.XLOOKUP(YEAR($C10),'[1]Australia - Weights'!$A:$A,'[1]Australia - Weights'!C:C))/LN(H10)))</f>
        <v/>
      </c>
      <c r="P10" s="19" t="str">
        <f>IF($A10="","",IF(I10&lt;=_xlfn.XLOOKUP(YEAR($C10),'[1]Australia - Weights'!$A:$A,'[1]Australia - Weights'!D:D),
LN(I10)/LN(_xlfn.XLOOKUP(YEAR($C10),'[1]Australia - Weights'!$A:$A,'[1]Australia - Weights'!D:D)),
LN(_xlfn.XLOOKUP(YEAR($C10),'[1]Australia - Weights'!$A:$A,'[1]Australia - Weights'!D:D))/LN(I10)))</f>
        <v/>
      </c>
      <c r="Q10" s="19" t="str">
        <f t="shared" si="0"/>
        <v/>
      </c>
    </row>
    <row r="11" spans="1:20" x14ac:dyDescent="0.35">
      <c r="B11" s="8"/>
      <c r="C11" s="15"/>
      <c r="D11" s="16"/>
      <c r="E11" s="10"/>
      <c r="F11" s="10"/>
      <c r="G11" s="18"/>
      <c r="I11" s="19"/>
      <c r="J11" s="19" t="str">
        <f>IF($A11="","",IF(G11&lt;=_xlfn.XLOOKUP(YEAR($C11),'[1]Australia - Weights'!$A:$A,'[1]Australia - Weights'!B:B),
G11/_xlfn.XLOOKUP(YEAR($C11),'[1]Australia - Weights'!$A:$A,'[1]Australia - Weights'!B:B),
_xlfn.XLOOKUP(YEAR($C11),'[1]Australia - Weights'!$A:$A,'[1]Australia - Weights'!B:B)/G11))</f>
        <v/>
      </c>
      <c r="K11" s="19" t="str">
        <f>IF($A11="","",IF(H11&lt;=_xlfn.XLOOKUP(YEAR($C11),'[1]Australia - Weights'!$A:$A,'[1]Australia - Weights'!C:C),
H11/_xlfn.XLOOKUP(YEAR($C11),'[1]Australia - Weights'!$A:$A,'[1]Australia - Weights'!C:C),
_xlfn.XLOOKUP(YEAR($C11),'[1]Australia - Weights'!$A:$A,'[1]Australia - Weights'!C:C)/H11))</f>
        <v/>
      </c>
      <c r="L11" s="19" t="str">
        <f>IF($A11="","",IF(I11&lt;=_xlfn.XLOOKUP(YEAR($C11),'[1]Australia - Weights'!$A:$A,'[1]Australia - Weights'!D:D),
I11/_xlfn.XLOOKUP(YEAR($C11),'[1]Australia - Weights'!$A:$A,'[1]Australia - Weights'!D:D),
_xlfn.XLOOKUP(YEAR($C11),'[1]Australia - Weights'!$A:$A,'[1]Australia - Weights'!D:D)/I11))</f>
        <v/>
      </c>
      <c r="M11" s="19" t="str">
        <f t="shared" si="1"/>
        <v/>
      </c>
      <c r="N11" s="19" t="str">
        <f>IF($A11="","",IF(G11&lt;=_xlfn.XLOOKUP(YEAR($C11),'[1]Australia - Weights'!$A:$A,'[1]Australia - Weights'!B:B),
LN(G11)/LN(_xlfn.XLOOKUP(YEAR($C11),'[1]Australia - Weights'!$A:$A,'[1]Australia - Weights'!B:B)),
LN(_xlfn.XLOOKUP(YEAR($C11),'[1]Australia - Weights'!$A:$A,'[1]Australia - Weights'!B:B))/LN(G11)))</f>
        <v/>
      </c>
      <c r="O11" s="19" t="str">
        <f>IF($A11="","",IF(H11&lt;=_xlfn.XLOOKUP(YEAR($C11),'[1]Australia - Weights'!$A:$A,'[1]Australia - Weights'!C:C),
LN(H11)/LN(_xlfn.XLOOKUP(YEAR($C11),'[1]Australia - Weights'!$A:$A,'[1]Australia - Weights'!C:C)),
LN(_xlfn.XLOOKUP(YEAR($C11),'[1]Australia - Weights'!$A:$A,'[1]Australia - Weights'!C:C))/LN(H11)))</f>
        <v/>
      </c>
      <c r="P11" s="19" t="str">
        <f>IF($A11="","",IF(I11&lt;=_xlfn.XLOOKUP(YEAR($C11),'[1]Australia - Weights'!$A:$A,'[1]Australia - Weights'!D:D),
LN(I11)/LN(_xlfn.XLOOKUP(YEAR($C11),'[1]Australia - Weights'!$A:$A,'[1]Australia - Weights'!D:D)),
LN(_xlfn.XLOOKUP(YEAR($C11),'[1]Australia - Weights'!$A:$A,'[1]Australia - Weights'!D:D))/LN(I11)))</f>
        <v/>
      </c>
      <c r="Q11" s="19" t="str">
        <f t="shared" si="0"/>
        <v/>
      </c>
    </row>
    <row r="12" spans="1:20" x14ac:dyDescent="0.35">
      <c r="B12" s="8"/>
      <c r="C12" s="15"/>
      <c r="D12" s="16"/>
      <c r="E12" s="10"/>
      <c r="F12" s="10"/>
      <c r="G12" s="18"/>
      <c r="I12" s="19"/>
      <c r="J12" s="19" t="str">
        <f>IF($A12="","",IF(G12&lt;=_xlfn.XLOOKUP(YEAR($C12),'[1]Australia - Weights'!$A:$A,'[1]Australia - Weights'!B:B),
G12/_xlfn.XLOOKUP(YEAR($C12),'[1]Australia - Weights'!$A:$A,'[1]Australia - Weights'!B:B),
_xlfn.XLOOKUP(YEAR($C12),'[1]Australia - Weights'!$A:$A,'[1]Australia - Weights'!B:B)/G12))</f>
        <v/>
      </c>
      <c r="K12" s="19" t="str">
        <f>IF($A12="","",IF(H12&lt;=_xlfn.XLOOKUP(YEAR($C12),'[1]Australia - Weights'!$A:$A,'[1]Australia - Weights'!C:C),
H12/_xlfn.XLOOKUP(YEAR($C12),'[1]Australia - Weights'!$A:$A,'[1]Australia - Weights'!C:C),
_xlfn.XLOOKUP(YEAR($C12),'[1]Australia - Weights'!$A:$A,'[1]Australia - Weights'!C:C)/H12))</f>
        <v/>
      </c>
      <c r="L12" s="19" t="str">
        <f>IF($A12="","",IF(I12&lt;=_xlfn.XLOOKUP(YEAR($C12),'[1]Australia - Weights'!$A:$A,'[1]Australia - Weights'!D:D),
I12/_xlfn.XLOOKUP(YEAR($C12),'[1]Australia - Weights'!$A:$A,'[1]Australia - Weights'!D:D),
_xlfn.XLOOKUP(YEAR($C12),'[1]Australia - Weights'!$A:$A,'[1]Australia - Weights'!D:D)/I12))</f>
        <v/>
      </c>
      <c r="M12" s="19" t="str">
        <f t="shared" si="1"/>
        <v/>
      </c>
      <c r="N12" s="19" t="str">
        <f>IF($A12="","",IF(G12&lt;=_xlfn.XLOOKUP(YEAR($C12),'[1]Australia - Weights'!$A:$A,'[1]Australia - Weights'!B:B),
LN(G12)/LN(_xlfn.XLOOKUP(YEAR($C12),'[1]Australia - Weights'!$A:$A,'[1]Australia - Weights'!B:B)),
LN(_xlfn.XLOOKUP(YEAR($C12),'[1]Australia - Weights'!$A:$A,'[1]Australia - Weights'!B:B))/LN(G12)))</f>
        <v/>
      </c>
      <c r="O12" s="19" t="str">
        <f>IF($A12="","",IF(H12&lt;=_xlfn.XLOOKUP(YEAR($C12),'[1]Australia - Weights'!$A:$A,'[1]Australia - Weights'!C:C),
LN(H12)/LN(_xlfn.XLOOKUP(YEAR($C12),'[1]Australia - Weights'!$A:$A,'[1]Australia - Weights'!C:C)),
LN(_xlfn.XLOOKUP(YEAR($C12),'[1]Australia - Weights'!$A:$A,'[1]Australia - Weights'!C:C))/LN(H12)))</f>
        <v/>
      </c>
      <c r="P12" s="19" t="str">
        <f>IF($A12="","",IF(I12&lt;=_xlfn.XLOOKUP(YEAR($C12),'[1]Australia - Weights'!$A:$A,'[1]Australia - Weights'!D:D),
LN(I12)/LN(_xlfn.XLOOKUP(YEAR($C12),'[1]Australia - Weights'!$A:$A,'[1]Australia - Weights'!D:D)),
LN(_xlfn.XLOOKUP(YEAR($C12),'[1]Australia - Weights'!$A:$A,'[1]Australia - Weights'!D:D))/LN(I12)))</f>
        <v/>
      </c>
      <c r="Q12" s="19" t="str">
        <f t="shared" si="0"/>
        <v/>
      </c>
    </row>
    <row r="13" spans="1:20" x14ac:dyDescent="0.35">
      <c r="B13" s="8"/>
      <c r="C13" s="15"/>
      <c r="D13" s="16"/>
      <c r="E13" s="10"/>
      <c r="F13" s="10"/>
      <c r="G13" s="18"/>
      <c r="I13" s="19"/>
      <c r="J13" s="19" t="str">
        <f>IF($A13="","",IF(G13&lt;=_xlfn.XLOOKUP(YEAR($C13),'[1]Australia - Weights'!$A:$A,'[1]Australia - Weights'!B:B),
G13/_xlfn.XLOOKUP(YEAR($C13),'[1]Australia - Weights'!$A:$A,'[1]Australia - Weights'!B:B),
_xlfn.XLOOKUP(YEAR($C13),'[1]Australia - Weights'!$A:$A,'[1]Australia - Weights'!B:B)/G13))</f>
        <v/>
      </c>
      <c r="K13" s="19" t="str">
        <f>IF($A13="","",IF(H13&lt;=_xlfn.XLOOKUP(YEAR($C13),'[1]Australia - Weights'!$A:$A,'[1]Australia - Weights'!C:C),
H13/_xlfn.XLOOKUP(YEAR($C13),'[1]Australia - Weights'!$A:$A,'[1]Australia - Weights'!C:C),
_xlfn.XLOOKUP(YEAR($C13),'[1]Australia - Weights'!$A:$A,'[1]Australia - Weights'!C:C)/H13))</f>
        <v/>
      </c>
      <c r="L13" s="19" t="str">
        <f>IF($A13="","",IF(I13&lt;=_xlfn.XLOOKUP(YEAR($C13),'[1]Australia - Weights'!$A:$A,'[1]Australia - Weights'!D:D),
I13/_xlfn.XLOOKUP(YEAR($C13),'[1]Australia - Weights'!$A:$A,'[1]Australia - Weights'!D:D),
_xlfn.XLOOKUP(YEAR($C13),'[1]Australia - Weights'!$A:$A,'[1]Australia - Weights'!D:D)/I13))</f>
        <v/>
      </c>
      <c r="M13" s="19" t="str">
        <f t="shared" si="1"/>
        <v/>
      </c>
      <c r="N13" s="19" t="str">
        <f>IF($A13="","",IF(G13&lt;=_xlfn.XLOOKUP(YEAR($C13),'[1]Australia - Weights'!$A:$A,'[1]Australia - Weights'!B:B),
LN(G13)/LN(_xlfn.XLOOKUP(YEAR($C13),'[1]Australia - Weights'!$A:$A,'[1]Australia - Weights'!B:B)),
LN(_xlfn.XLOOKUP(YEAR($C13),'[1]Australia - Weights'!$A:$A,'[1]Australia - Weights'!B:B))/LN(G13)))</f>
        <v/>
      </c>
      <c r="O13" s="19" t="str">
        <f>IF($A13="","",IF(H13&lt;=_xlfn.XLOOKUP(YEAR($C13),'[1]Australia - Weights'!$A:$A,'[1]Australia - Weights'!C:C),
LN(H13)/LN(_xlfn.XLOOKUP(YEAR($C13),'[1]Australia - Weights'!$A:$A,'[1]Australia - Weights'!C:C)),
LN(_xlfn.XLOOKUP(YEAR($C13),'[1]Australia - Weights'!$A:$A,'[1]Australia - Weights'!C:C))/LN(H13)))</f>
        <v/>
      </c>
      <c r="P13" s="19" t="str">
        <f>IF($A13="","",IF(I13&lt;=_xlfn.XLOOKUP(YEAR($C13),'[1]Australia - Weights'!$A:$A,'[1]Australia - Weights'!D:D),
LN(I13)/LN(_xlfn.XLOOKUP(YEAR($C13),'[1]Australia - Weights'!$A:$A,'[1]Australia - Weights'!D:D)),
LN(_xlfn.XLOOKUP(YEAR($C13),'[1]Australia - Weights'!$A:$A,'[1]Australia - Weights'!D:D))/LN(I13)))</f>
        <v/>
      </c>
      <c r="Q13" s="19" t="str">
        <f t="shared" si="0"/>
        <v/>
      </c>
    </row>
    <row r="14" spans="1:20" x14ac:dyDescent="0.35">
      <c r="B14" s="8"/>
      <c r="C14" s="15"/>
      <c r="D14" s="16"/>
      <c r="E14" s="10"/>
      <c r="F14" s="10"/>
      <c r="G14" s="18"/>
      <c r="I14" s="19"/>
      <c r="J14" s="19" t="str">
        <f>IF($A14="","",IF(G14&lt;=_xlfn.XLOOKUP(YEAR($C14),'[1]Australia - Weights'!$A:$A,'[1]Australia - Weights'!B:B),
G14/_xlfn.XLOOKUP(YEAR($C14),'[1]Australia - Weights'!$A:$A,'[1]Australia - Weights'!B:B),
_xlfn.XLOOKUP(YEAR($C14),'[1]Australia - Weights'!$A:$A,'[1]Australia - Weights'!B:B)/G14))</f>
        <v/>
      </c>
      <c r="K14" s="19" t="str">
        <f>IF($A14="","",IF(H14&lt;=_xlfn.XLOOKUP(YEAR($C14),'[1]Australia - Weights'!$A:$A,'[1]Australia - Weights'!C:C),
H14/_xlfn.XLOOKUP(YEAR($C14),'[1]Australia - Weights'!$A:$A,'[1]Australia - Weights'!C:C),
_xlfn.XLOOKUP(YEAR($C14),'[1]Australia - Weights'!$A:$A,'[1]Australia - Weights'!C:C)/H14))</f>
        <v/>
      </c>
      <c r="L14" s="19" t="str">
        <f>IF($A14="","",IF(I14&lt;=_xlfn.XLOOKUP(YEAR($C14),'[1]Australia - Weights'!$A:$A,'[1]Australia - Weights'!D:D),
I14/_xlfn.XLOOKUP(YEAR($C14),'[1]Australia - Weights'!$A:$A,'[1]Australia - Weights'!D:D),
_xlfn.XLOOKUP(YEAR($C14),'[1]Australia - Weights'!$A:$A,'[1]Australia - Weights'!D:D)/I14))</f>
        <v/>
      </c>
      <c r="M14" s="19" t="str">
        <f t="shared" si="1"/>
        <v/>
      </c>
      <c r="N14" s="19" t="str">
        <f>IF($A14="","",IF(G14&lt;=_xlfn.XLOOKUP(YEAR($C14),'[1]Australia - Weights'!$A:$A,'[1]Australia - Weights'!B:B),
LN(G14)/LN(_xlfn.XLOOKUP(YEAR($C14),'[1]Australia - Weights'!$A:$A,'[1]Australia - Weights'!B:B)),
LN(_xlfn.XLOOKUP(YEAR($C14),'[1]Australia - Weights'!$A:$A,'[1]Australia - Weights'!B:B))/LN(G14)))</f>
        <v/>
      </c>
      <c r="O14" s="19" t="str">
        <f>IF($A14="","",IF(H14&lt;=_xlfn.XLOOKUP(YEAR($C14),'[1]Australia - Weights'!$A:$A,'[1]Australia - Weights'!C:C),
LN(H14)/LN(_xlfn.XLOOKUP(YEAR($C14),'[1]Australia - Weights'!$A:$A,'[1]Australia - Weights'!C:C)),
LN(_xlfn.XLOOKUP(YEAR($C14),'[1]Australia - Weights'!$A:$A,'[1]Australia - Weights'!C:C))/LN(H14)))</f>
        <v/>
      </c>
      <c r="P14" s="19" t="str">
        <f>IF($A14="","",IF(I14&lt;=_xlfn.XLOOKUP(YEAR($C14),'[1]Australia - Weights'!$A:$A,'[1]Australia - Weights'!D:D),
LN(I14)/LN(_xlfn.XLOOKUP(YEAR($C14),'[1]Australia - Weights'!$A:$A,'[1]Australia - Weights'!D:D)),
LN(_xlfn.XLOOKUP(YEAR($C14),'[1]Australia - Weights'!$A:$A,'[1]Australia - Weights'!D:D))/LN(I14)))</f>
        <v/>
      </c>
      <c r="Q14" s="19" t="str">
        <f t="shared" si="0"/>
        <v/>
      </c>
    </row>
    <row r="15" spans="1:20" x14ac:dyDescent="0.35">
      <c r="B15" s="8"/>
      <c r="C15" s="15"/>
      <c r="D15" s="16"/>
      <c r="E15" s="10"/>
      <c r="F15" s="10"/>
      <c r="G15" s="18"/>
      <c r="I15" s="19"/>
      <c r="J15" s="19" t="str">
        <f>IF($A15="","",IF(G15&lt;=_xlfn.XLOOKUP(YEAR($C15),'[1]Australia - Weights'!$A:$A,'[1]Australia - Weights'!B:B),
G15/_xlfn.XLOOKUP(YEAR($C15),'[1]Australia - Weights'!$A:$A,'[1]Australia - Weights'!B:B),
_xlfn.XLOOKUP(YEAR($C15),'[1]Australia - Weights'!$A:$A,'[1]Australia - Weights'!B:B)/G15))</f>
        <v/>
      </c>
      <c r="K15" s="19" t="str">
        <f>IF($A15="","",IF(H15&lt;=_xlfn.XLOOKUP(YEAR($C15),'[1]Australia - Weights'!$A:$A,'[1]Australia - Weights'!C:C),
H15/_xlfn.XLOOKUP(YEAR($C15),'[1]Australia - Weights'!$A:$A,'[1]Australia - Weights'!C:C),
_xlfn.XLOOKUP(YEAR($C15),'[1]Australia - Weights'!$A:$A,'[1]Australia - Weights'!C:C)/H15))</f>
        <v/>
      </c>
      <c r="L15" s="19" t="str">
        <f>IF($A15="","",IF(I15&lt;=_xlfn.XLOOKUP(YEAR($C15),'[1]Australia - Weights'!$A:$A,'[1]Australia - Weights'!D:D),
I15/_xlfn.XLOOKUP(YEAR($C15),'[1]Australia - Weights'!$A:$A,'[1]Australia - Weights'!D:D),
_xlfn.XLOOKUP(YEAR($C15),'[1]Australia - Weights'!$A:$A,'[1]Australia - Weights'!D:D)/I15))</f>
        <v/>
      </c>
      <c r="M15" s="19" t="str">
        <f t="shared" si="1"/>
        <v/>
      </c>
      <c r="N15" s="19" t="str">
        <f>IF($A15="","",IF(G15&lt;=_xlfn.XLOOKUP(YEAR($C15),'[1]Australia - Weights'!$A:$A,'[1]Australia - Weights'!B:B),
LN(G15)/LN(_xlfn.XLOOKUP(YEAR($C15),'[1]Australia - Weights'!$A:$A,'[1]Australia - Weights'!B:B)),
LN(_xlfn.XLOOKUP(YEAR($C15),'[1]Australia - Weights'!$A:$A,'[1]Australia - Weights'!B:B))/LN(G15)))</f>
        <v/>
      </c>
      <c r="O15" s="19" t="str">
        <f>IF($A15="","",IF(H15&lt;=_xlfn.XLOOKUP(YEAR($C15),'[1]Australia - Weights'!$A:$A,'[1]Australia - Weights'!C:C),
LN(H15)/LN(_xlfn.XLOOKUP(YEAR($C15),'[1]Australia - Weights'!$A:$A,'[1]Australia - Weights'!C:C)),
LN(_xlfn.XLOOKUP(YEAR($C15),'[1]Australia - Weights'!$A:$A,'[1]Australia - Weights'!C:C))/LN(H15)))</f>
        <v/>
      </c>
      <c r="P15" s="19" t="str">
        <f>IF($A15="","",IF(I15&lt;=_xlfn.XLOOKUP(YEAR($C15),'[1]Australia - Weights'!$A:$A,'[1]Australia - Weights'!D:D),
LN(I15)/LN(_xlfn.XLOOKUP(YEAR($C15),'[1]Australia - Weights'!$A:$A,'[1]Australia - Weights'!D:D)),
LN(_xlfn.XLOOKUP(YEAR($C15),'[1]Australia - Weights'!$A:$A,'[1]Australia - Weights'!D:D))/LN(I15)))</f>
        <v/>
      </c>
      <c r="Q15" s="19" t="str">
        <f t="shared" si="0"/>
        <v/>
      </c>
    </row>
    <row r="16" spans="1:20" x14ac:dyDescent="0.35">
      <c r="B16" s="8"/>
      <c r="C16" s="15"/>
      <c r="D16" s="16"/>
      <c r="E16" s="10"/>
      <c r="F16" s="10"/>
      <c r="G16" s="18"/>
      <c r="I16" s="19"/>
      <c r="J16" s="19" t="str">
        <f>IF($A16="","",IF(G16&lt;=_xlfn.XLOOKUP(YEAR($C16),'[1]Australia - Weights'!$A:$A,'[1]Australia - Weights'!B:B),
G16/_xlfn.XLOOKUP(YEAR($C16),'[1]Australia - Weights'!$A:$A,'[1]Australia - Weights'!B:B),
_xlfn.XLOOKUP(YEAR($C16),'[1]Australia - Weights'!$A:$A,'[1]Australia - Weights'!B:B)/G16))</f>
        <v/>
      </c>
      <c r="K16" s="19" t="str">
        <f>IF($A16="","",IF(H16&lt;=_xlfn.XLOOKUP(YEAR($C16),'[1]Australia - Weights'!$A:$A,'[1]Australia - Weights'!C:C),
H16/_xlfn.XLOOKUP(YEAR($C16),'[1]Australia - Weights'!$A:$A,'[1]Australia - Weights'!C:C),
_xlfn.XLOOKUP(YEAR($C16),'[1]Australia - Weights'!$A:$A,'[1]Australia - Weights'!C:C)/H16))</f>
        <v/>
      </c>
      <c r="L16" s="19" t="str">
        <f>IF($A16="","",IF(I16&lt;=_xlfn.XLOOKUP(YEAR($C16),'[1]Australia - Weights'!$A:$A,'[1]Australia - Weights'!D:D),
I16/_xlfn.XLOOKUP(YEAR($C16),'[1]Australia - Weights'!$A:$A,'[1]Australia - Weights'!D:D),
_xlfn.XLOOKUP(YEAR($C16),'[1]Australia - Weights'!$A:$A,'[1]Australia - Weights'!D:D)/I16))</f>
        <v/>
      </c>
      <c r="M16" s="19" t="str">
        <f t="shared" si="1"/>
        <v/>
      </c>
      <c r="N16" s="19" t="str">
        <f>IF($A16="","",IF(G16&lt;=_xlfn.XLOOKUP(YEAR($C16),'[1]Australia - Weights'!$A:$A,'[1]Australia - Weights'!B:B),
LN(G16)/LN(_xlfn.XLOOKUP(YEAR($C16),'[1]Australia - Weights'!$A:$A,'[1]Australia - Weights'!B:B)),
LN(_xlfn.XLOOKUP(YEAR($C16),'[1]Australia - Weights'!$A:$A,'[1]Australia - Weights'!B:B))/LN(G16)))</f>
        <v/>
      </c>
      <c r="O16" s="19" t="str">
        <f>IF($A16="","",IF(H16&lt;=_xlfn.XLOOKUP(YEAR($C16),'[1]Australia - Weights'!$A:$A,'[1]Australia - Weights'!C:C),
LN(H16)/LN(_xlfn.XLOOKUP(YEAR($C16),'[1]Australia - Weights'!$A:$A,'[1]Australia - Weights'!C:C)),
LN(_xlfn.XLOOKUP(YEAR($C16),'[1]Australia - Weights'!$A:$A,'[1]Australia - Weights'!C:C))/LN(H16)))</f>
        <v/>
      </c>
      <c r="P16" s="19" t="str">
        <f>IF($A16="","",IF(I16&lt;=_xlfn.XLOOKUP(YEAR($C16),'[1]Australia - Weights'!$A:$A,'[1]Australia - Weights'!D:D),
LN(I16)/LN(_xlfn.XLOOKUP(YEAR($C16),'[1]Australia - Weights'!$A:$A,'[1]Australia - Weights'!D:D)),
LN(_xlfn.XLOOKUP(YEAR($C16),'[1]Australia - Weights'!$A:$A,'[1]Australia - Weights'!D:D))/LN(I16)))</f>
        <v/>
      </c>
      <c r="Q16" s="19" t="str">
        <f t="shared" si="0"/>
        <v/>
      </c>
    </row>
    <row r="17" spans="2:17" x14ac:dyDescent="0.35">
      <c r="B17" s="8"/>
      <c r="C17" s="15"/>
      <c r="D17" s="16"/>
      <c r="E17" s="10"/>
      <c r="F17" s="10"/>
      <c r="G17" s="18"/>
      <c r="I17" s="19"/>
      <c r="J17" s="19" t="str">
        <f>IF($A17="","",IF(G17&lt;=_xlfn.XLOOKUP(YEAR($C17),'[1]Australia - Weights'!$A:$A,'[1]Australia - Weights'!B:B),
G17/_xlfn.XLOOKUP(YEAR($C17),'[1]Australia - Weights'!$A:$A,'[1]Australia - Weights'!B:B),
_xlfn.XLOOKUP(YEAR($C17),'[1]Australia - Weights'!$A:$A,'[1]Australia - Weights'!B:B)/G17))</f>
        <v/>
      </c>
      <c r="K17" s="19" t="str">
        <f>IF($A17="","",IF(H17&lt;=_xlfn.XLOOKUP(YEAR($C17),'[1]Australia - Weights'!$A:$A,'[1]Australia - Weights'!C:C),
H17/_xlfn.XLOOKUP(YEAR($C17),'[1]Australia - Weights'!$A:$A,'[1]Australia - Weights'!C:C),
_xlfn.XLOOKUP(YEAR($C17),'[1]Australia - Weights'!$A:$A,'[1]Australia - Weights'!C:C)/H17))</f>
        <v/>
      </c>
      <c r="L17" s="19" t="str">
        <f>IF($A17="","",IF(I17&lt;=_xlfn.XLOOKUP(YEAR($C17),'[1]Australia - Weights'!$A:$A,'[1]Australia - Weights'!D:D),
I17/_xlfn.XLOOKUP(YEAR($C17),'[1]Australia - Weights'!$A:$A,'[1]Australia - Weights'!D:D),
_xlfn.XLOOKUP(YEAR($C17),'[1]Australia - Weights'!$A:$A,'[1]Australia - Weights'!D:D)/I17))</f>
        <v/>
      </c>
      <c r="M17" s="19" t="str">
        <f t="shared" si="1"/>
        <v/>
      </c>
      <c r="N17" s="19" t="str">
        <f>IF($A17="","",IF(G17&lt;=_xlfn.XLOOKUP(YEAR($C17),'[1]Australia - Weights'!$A:$A,'[1]Australia - Weights'!B:B),
LN(G17)/LN(_xlfn.XLOOKUP(YEAR($C17),'[1]Australia - Weights'!$A:$A,'[1]Australia - Weights'!B:B)),
LN(_xlfn.XLOOKUP(YEAR($C17),'[1]Australia - Weights'!$A:$A,'[1]Australia - Weights'!B:B))/LN(G17)))</f>
        <v/>
      </c>
      <c r="O17" s="19" t="str">
        <f>IF($A17="","",IF(H17&lt;=_xlfn.XLOOKUP(YEAR($C17),'[1]Australia - Weights'!$A:$A,'[1]Australia - Weights'!C:C),
LN(H17)/LN(_xlfn.XLOOKUP(YEAR($C17),'[1]Australia - Weights'!$A:$A,'[1]Australia - Weights'!C:C)),
LN(_xlfn.XLOOKUP(YEAR($C17),'[1]Australia - Weights'!$A:$A,'[1]Australia - Weights'!C:C))/LN(H17)))</f>
        <v/>
      </c>
      <c r="P17" s="19" t="str">
        <f>IF($A17="","",IF(I17&lt;=_xlfn.XLOOKUP(YEAR($C17),'[1]Australia - Weights'!$A:$A,'[1]Australia - Weights'!D:D),
LN(I17)/LN(_xlfn.XLOOKUP(YEAR($C17),'[1]Australia - Weights'!$A:$A,'[1]Australia - Weights'!D:D)),
LN(_xlfn.XLOOKUP(YEAR($C17),'[1]Australia - Weights'!$A:$A,'[1]Australia - Weights'!D:D))/LN(I17)))</f>
        <v/>
      </c>
      <c r="Q17" s="19" t="str">
        <f t="shared" si="0"/>
        <v/>
      </c>
    </row>
    <row r="18" spans="2:17" x14ac:dyDescent="0.35">
      <c r="B18" s="8"/>
      <c r="C18" s="15"/>
      <c r="D18" s="16"/>
      <c r="E18" s="10"/>
      <c r="F18" s="10"/>
      <c r="G18" s="18"/>
      <c r="I18" s="19"/>
      <c r="J18" s="19" t="str">
        <f>IF($A18="","",IF(G18&lt;=_xlfn.XLOOKUP(YEAR($C18),'[1]Australia - Weights'!$A:$A,'[1]Australia - Weights'!B:B),
G18/_xlfn.XLOOKUP(YEAR($C18),'[1]Australia - Weights'!$A:$A,'[1]Australia - Weights'!B:B),
_xlfn.XLOOKUP(YEAR($C18),'[1]Australia - Weights'!$A:$A,'[1]Australia - Weights'!B:B)/G18))</f>
        <v/>
      </c>
      <c r="K18" s="19" t="str">
        <f>IF($A18="","",IF(H18&lt;=_xlfn.XLOOKUP(YEAR($C18),'[1]Australia - Weights'!$A:$A,'[1]Australia - Weights'!C:C),
H18/_xlfn.XLOOKUP(YEAR($C18),'[1]Australia - Weights'!$A:$A,'[1]Australia - Weights'!C:C),
_xlfn.XLOOKUP(YEAR($C18),'[1]Australia - Weights'!$A:$A,'[1]Australia - Weights'!C:C)/H18))</f>
        <v/>
      </c>
      <c r="L18" s="19" t="str">
        <f>IF($A18="","",IF(I18&lt;=_xlfn.XLOOKUP(YEAR($C18),'[1]Australia - Weights'!$A:$A,'[1]Australia - Weights'!D:D),
I18/_xlfn.XLOOKUP(YEAR($C18),'[1]Australia - Weights'!$A:$A,'[1]Australia - Weights'!D:D),
_xlfn.XLOOKUP(YEAR($C18),'[1]Australia - Weights'!$A:$A,'[1]Australia - Weights'!D:D)/I18))</f>
        <v/>
      </c>
      <c r="M18" s="19" t="str">
        <f t="shared" si="1"/>
        <v/>
      </c>
      <c r="N18" s="19" t="str">
        <f>IF($A18="","",IF(G18&lt;=_xlfn.XLOOKUP(YEAR($C18),'[1]Australia - Weights'!$A:$A,'[1]Australia - Weights'!B:B),
LN(G18)/LN(_xlfn.XLOOKUP(YEAR($C18),'[1]Australia - Weights'!$A:$A,'[1]Australia - Weights'!B:B)),
LN(_xlfn.XLOOKUP(YEAR($C18),'[1]Australia - Weights'!$A:$A,'[1]Australia - Weights'!B:B))/LN(G18)))</f>
        <v/>
      </c>
      <c r="O18" s="19" t="str">
        <f>IF($A18="","",IF(H18&lt;=_xlfn.XLOOKUP(YEAR($C18),'[1]Australia - Weights'!$A:$A,'[1]Australia - Weights'!C:C),
LN(H18)/LN(_xlfn.XLOOKUP(YEAR($C18),'[1]Australia - Weights'!$A:$A,'[1]Australia - Weights'!C:C)),
LN(_xlfn.XLOOKUP(YEAR($C18),'[1]Australia - Weights'!$A:$A,'[1]Australia - Weights'!C:C))/LN(H18)))</f>
        <v/>
      </c>
      <c r="P18" s="19" t="str">
        <f>IF($A18="","",IF(I18&lt;=_xlfn.XLOOKUP(YEAR($C18),'[1]Australia - Weights'!$A:$A,'[1]Australia - Weights'!D:D),
LN(I18)/LN(_xlfn.XLOOKUP(YEAR($C18),'[1]Australia - Weights'!$A:$A,'[1]Australia - Weights'!D:D)),
LN(_xlfn.XLOOKUP(YEAR($C18),'[1]Australia - Weights'!$A:$A,'[1]Australia - Weights'!D:D))/LN(I18)))</f>
        <v/>
      </c>
      <c r="Q18" s="19" t="str">
        <f t="shared" si="0"/>
        <v/>
      </c>
    </row>
    <row r="19" spans="2:17" x14ac:dyDescent="0.35">
      <c r="B19" s="8"/>
      <c r="C19" s="15"/>
      <c r="D19" s="16"/>
      <c r="E19" s="10"/>
      <c r="F19" s="28"/>
      <c r="G19" s="18"/>
      <c r="I19" s="19"/>
      <c r="J19" s="19" t="str">
        <f>IF($A19="","",IF(G19&lt;=_xlfn.XLOOKUP(YEAR($C19),'[1]Australia - Weights'!$A:$A,'[1]Australia - Weights'!B:B),
G19/_xlfn.XLOOKUP(YEAR($C19),'[1]Australia - Weights'!$A:$A,'[1]Australia - Weights'!B:B),
_xlfn.XLOOKUP(YEAR($C19),'[1]Australia - Weights'!$A:$A,'[1]Australia - Weights'!B:B)/G19))</f>
        <v/>
      </c>
      <c r="K19" s="19" t="str">
        <f>IF($A19="","",IF(H19&lt;=_xlfn.XLOOKUP(YEAR($C19),'[1]Australia - Weights'!$A:$A,'[1]Australia - Weights'!C:C),
H19/_xlfn.XLOOKUP(YEAR($C19),'[1]Australia - Weights'!$A:$A,'[1]Australia - Weights'!C:C),
_xlfn.XLOOKUP(YEAR($C19),'[1]Australia - Weights'!$A:$A,'[1]Australia - Weights'!C:C)/H19))</f>
        <v/>
      </c>
      <c r="L19" s="19" t="str">
        <f>IF($A19="","",IF(I19&lt;=_xlfn.XLOOKUP(YEAR($C19),'[1]Australia - Weights'!$A:$A,'[1]Australia - Weights'!D:D),
I19/_xlfn.XLOOKUP(YEAR($C19),'[1]Australia - Weights'!$A:$A,'[1]Australia - Weights'!D:D),
_xlfn.XLOOKUP(YEAR($C19),'[1]Australia - Weights'!$A:$A,'[1]Australia - Weights'!D:D)/I19))</f>
        <v/>
      </c>
      <c r="M19" s="19" t="str">
        <f t="shared" si="1"/>
        <v/>
      </c>
      <c r="N19" s="19" t="str">
        <f>IF($A19="","",IF(G19&lt;=_xlfn.XLOOKUP(YEAR($C19),'[1]Australia - Weights'!$A:$A,'[1]Australia - Weights'!B:B),
LN(G19)/LN(_xlfn.XLOOKUP(YEAR($C19),'[1]Australia - Weights'!$A:$A,'[1]Australia - Weights'!B:B)),
LN(_xlfn.XLOOKUP(YEAR($C19),'[1]Australia - Weights'!$A:$A,'[1]Australia - Weights'!B:B))/LN(G19)))</f>
        <v/>
      </c>
      <c r="O19" s="19" t="str">
        <f>IF($A19="","",IF(H19&lt;=_xlfn.XLOOKUP(YEAR($C19),'[1]Australia - Weights'!$A:$A,'[1]Australia - Weights'!C:C),
LN(H19)/LN(_xlfn.XLOOKUP(YEAR($C19),'[1]Australia - Weights'!$A:$A,'[1]Australia - Weights'!C:C)),
LN(_xlfn.XLOOKUP(YEAR($C19),'[1]Australia - Weights'!$A:$A,'[1]Australia - Weights'!C:C))/LN(H19)))</f>
        <v/>
      </c>
      <c r="P19" s="19" t="str">
        <f>IF($A19="","",IF(I19&lt;=_xlfn.XLOOKUP(YEAR($C19),'[1]Australia - Weights'!$A:$A,'[1]Australia - Weights'!D:D),
LN(I19)/LN(_xlfn.XLOOKUP(YEAR($C19),'[1]Australia - Weights'!$A:$A,'[1]Australia - Weights'!D:D)),
LN(_xlfn.XLOOKUP(YEAR($C19),'[1]Australia - Weights'!$A:$A,'[1]Australia - Weights'!D:D))/LN(I19)))</f>
        <v/>
      </c>
      <c r="Q19" s="19" t="str">
        <f t="shared" si="0"/>
        <v/>
      </c>
    </row>
    <row r="20" spans="2:17" x14ac:dyDescent="0.35">
      <c r="B20" s="8"/>
      <c r="C20" s="15"/>
      <c r="D20" s="16"/>
      <c r="E20" s="10"/>
      <c r="F20" s="10"/>
      <c r="G20" s="18"/>
      <c r="I20" s="19"/>
      <c r="J20" s="19" t="str">
        <f>IF($A20="","",IF(G20&lt;=_xlfn.XLOOKUP(YEAR($C20),'[1]Australia - Weights'!$A:$A,'[1]Australia - Weights'!B:B),
G20/_xlfn.XLOOKUP(YEAR($C20),'[1]Australia - Weights'!$A:$A,'[1]Australia - Weights'!B:B),
_xlfn.XLOOKUP(YEAR($C20),'[1]Australia - Weights'!$A:$A,'[1]Australia - Weights'!B:B)/G20))</f>
        <v/>
      </c>
      <c r="K20" s="19" t="str">
        <f>IF($A20="","",IF(H20&lt;=_xlfn.XLOOKUP(YEAR($C20),'[1]Australia - Weights'!$A:$A,'[1]Australia - Weights'!C:C),
H20/_xlfn.XLOOKUP(YEAR($C20),'[1]Australia - Weights'!$A:$A,'[1]Australia - Weights'!C:C),
_xlfn.XLOOKUP(YEAR($C20),'[1]Australia - Weights'!$A:$A,'[1]Australia - Weights'!C:C)/H20))</f>
        <v/>
      </c>
      <c r="L20" s="19" t="str">
        <f>IF($A20="","",IF(I20&lt;=_xlfn.XLOOKUP(YEAR($C20),'[1]Australia - Weights'!$A:$A,'[1]Australia - Weights'!D:D),
I20/_xlfn.XLOOKUP(YEAR($C20),'[1]Australia - Weights'!$A:$A,'[1]Australia - Weights'!D:D),
_xlfn.XLOOKUP(YEAR($C20),'[1]Australia - Weights'!$A:$A,'[1]Australia - Weights'!D:D)/I20))</f>
        <v/>
      </c>
      <c r="M20" s="19" t="str">
        <f t="shared" si="1"/>
        <v/>
      </c>
      <c r="N20" s="19" t="str">
        <f>IF($A20="","",IF(G20&lt;=_xlfn.XLOOKUP(YEAR($C20),'[1]Australia - Weights'!$A:$A,'[1]Australia - Weights'!B:B),
LN(G20)/LN(_xlfn.XLOOKUP(YEAR($C20),'[1]Australia - Weights'!$A:$A,'[1]Australia - Weights'!B:B)),
LN(_xlfn.XLOOKUP(YEAR($C20),'[1]Australia - Weights'!$A:$A,'[1]Australia - Weights'!B:B))/LN(G20)))</f>
        <v/>
      </c>
      <c r="O20" s="19" t="str">
        <f>IF($A20="","",IF(H20&lt;=_xlfn.XLOOKUP(YEAR($C20),'[1]Australia - Weights'!$A:$A,'[1]Australia - Weights'!C:C),
LN(H20)/LN(_xlfn.XLOOKUP(YEAR($C20),'[1]Australia - Weights'!$A:$A,'[1]Australia - Weights'!C:C)),
LN(_xlfn.XLOOKUP(YEAR($C20),'[1]Australia - Weights'!$A:$A,'[1]Australia - Weights'!C:C))/LN(H20)))</f>
        <v/>
      </c>
      <c r="P20" s="19" t="str">
        <f>IF($A20="","",IF(I20&lt;=_xlfn.XLOOKUP(YEAR($C20),'[1]Australia - Weights'!$A:$A,'[1]Australia - Weights'!D:D),
LN(I20)/LN(_xlfn.XLOOKUP(YEAR($C20),'[1]Australia - Weights'!$A:$A,'[1]Australia - Weights'!D:D)),
LN(_xlfn.XLOOKUP(YEAR($C20),'[1]Australia - Weights'!$A:$A,'[1]Australia - Weights'!D:D))/LN(I20)))</f>
        <v/>
      </c>
      <c r="Q20" s="19" t="str">
        <f t="shared" si="0"/>
        <v/>
      </c>
    </row>
    <row r="21" spans="2:17" x14ac:dyDescent="0.35">
      <c r="B21" s="8"/>
      <c r="C21" s="15"/>
      <c r="D21" s="16"/>
      <c r="E21" s="10"/>
      <c r="F21" s="10"/>
      <c r="G21" s="18"/>
      <c r="I21" s="19"/>
      <c r="J21" s="19" t="str">
        <f>IF($A21="","",IF(G21&lt;=_xlfn.XLOOKUP(YEAR($C21),'[1]Australia - Weights'!$A:$A,'[1]Australia - Weights'!B:B),
G21/_xlfn.XLOOKUP(YEAR($C21),'[1]Australia - Weights'!$A:$A,'[1]Australia - Weights'!B:B),
_xlfn.XLOOKUP(YEAR($C21),'[1]Australia - Weights'!$A:$A,'[1]Australia - Weights'!B:B)/G21))</f>
        <v/>
      </c>
      <c r="K21" s="19" t="str">
        <f>IF($A21="","",IF(H21&lt;=_xlfn.XLOOKUP(YEAR($C21),'[1]Australia - Weights'!$A:$A,'[1]Australia - Weights'!C:C),
H21/_xlfn.XLOOKUP(YEAR($C21),'[1]Australia - Weights'!$A:$A,'[1]Australia - Weights'!C:C),
_xlfn.XLOOKUP(YEAR($C21),'[1]Australia - Weights'!$A:$A,'[1]Australia - Weights'!C:C)/H21))</f>
        <v/>
      </c>
      <c r="L21" s="19" t="str">
        <f>IF($A21="","",IF(I21&lt;=_xlfn.XLOOKUP(YEAR($C21),'[1]Australia - Weights'!$A:$A,'[1]Australia - Weights'!D:D),
I21/_xlfn.XLOOKUP(YEAR($C21),'[1]Australia - Weights'!$A:$A,'[1]Australia - Weights'!D:D),
_xlfn.XLOOKUP(YEAR($C21),'[1]Australia - Weights'!$A:$A,'[1]Australia - Weights'!D:D)/I21))</f>
        <v/>
      </c>
      <c r="M21" s="19" t="str">
        <f t="shared" si="1"/>
        <v/>
      </c>
      <c r="N21" s="19" t="str">
        <f>IF($A21="","",IF(G21&lt;=_xlfn.XLOOKUP(YEAR($C21),'[1]Australia - Weights'!$A:$A,'[1]Australia - Weights'!B:B),
LN(G21)/LN(_xlfn.XLOOKUP(YEAR($C21),'[1]Australia - Weights'!$A:$A,'[1]Australia - Weights'!B:B)),
LN(_xlfn.XLOOKUP(YEAR($C21),'[1]Australia - Weights'!$A:$A,'[1]Australia - Weights'!B:B))/LN(G21)))</f>
        <v/>
      </c>
      <c r="O21" s="19" t="str">
        <f>IF($A21="","",IF(H21&lt;=_xlfn.XLOOKUP(YEAR($C21),'[1]Australia - Weights'!$A:$A,'[1]Australia - Weights'!C:C),
LN(H21)/LN(_xlfn.XLOOKUP(YEAR($C21),'[1]Australia - Weights'!$A:$A,'[1]Australia - Weights'!C:C)),
LN(_xlfn.XLOOKUP(YEAR($C21),'[1]Australia - Weights'!$A:$A,'[1]Australia - Weights'!C:C))/LN(H21)))</f>
        <v/>
      </c>
      <c r="P21" s="19" t="str">
        <f>IF($A21="","",IF(I21&lt;=_xlfn.XLOOKUP(YEAR($C21),'[1]Australia - Weights'!$A:$A,'[1]Australia - Weights'!D:D),
LN(I21)/LN(_xlfn.XLOOKUP(YEAR($C21),'[1]Australia - Weights'!$A:$A,'[1]Australia - Weights'!D:D)),
LN(_xlfn.XLOOKUP(YEAR($C21),'[1]Australia - Weights'!$A:$A,'[1]Australia - Weights'!D:D))/LN(I21)))</f>
        <v/>
      </c>
      <c r="Q21" s="19" t="str">
        <f t="shared" si="0"/>
        <v/>
      </c>
    </row>
    <row r="22" spans="2:17" x14ac:dyDescent="0.35">
      <c r="B22" s="8"/>
      <c r="C22" s="15"/>
      <c r="D22" s="16"/>
      <c r="E22" s="10"/>
      <c r="F22" s="10"/>
      <c r="G22" s="18"/>
      <c r="I22" s="19"/>
      <c r="J22" s="19" t="str">
        <f>IF($A22="","",IF(G22&lt;=_xlfn.XLOOKUP(YEAR($C22),'[1]Australia - Weights'!$A:$A,'[1]Australia - Weights'!B:B),
G22/_xlfn.XLOOKUP(YEAR($C22),'[1]Australia - Weights'!$A:$A,'[1]Australia - Weights'!B:B),
_xlfn.XLOOKUP(YEAR($C22),'[1]Australia - Weights'!$A:$A,'[1]Australia - Weights'!B:B)/G22))</f>
        <v/>
      </c>
      <c r="K22" s="19" t="str">
        <f>IF($A22="","",IF(H22&lt;=_xlfn.XLOOKUP(YEAR($C22),'[1]Australia - Weights'!$A:$A,'[1]Australia - Weights'!C:C),
H22/_xlfn.XLOOKUP(YEAR($C22),'[1]Australia - Weights'!$A:$A,'[1]Australia - Weights'!C:C),
_xlfn.XLOOKUP(YEAR($C22),'[1]Australia - Weights'!$A:$A,'[1]Australia - Weights'!C:C)/H22))</f>
        <v/>
      </c>
      <c r="L22" s="19" t="str">
        <f>IF($A22="","",IF(I22&lt;=_xlfn.XLOOKUP(YEAR($C22),'[1]Australia - Weights'!$A:$A,'[1]Australia - Weights'!D:D),
I22/_xlfn.XLOOKUP(YEAR($C22),'[1]Australia - Weights'!$A:$A,'[1]Australia - Weights'!D:D),
_xlfn.XLOOKUP(YEAR($C22),'[1]Australia - Weights'!$A:$A,'[1]Australia - Weights'!D:D)/I22))</f>
        <v/>
      </c>
      <c r="M22" s="19" t="str">
        <f t="shared" si="1"/>
        <v/>
      </c>
      <c r="N22" s="19" t="str">
        <f>IF($A22="","",IF(G22&lt;=_xlfn.XLOOKUP(YEAR($C22),'[1]Australia - Weights'!$A:$A,'[1]Australia - Weights'!B:B),
LN(G22)/LN(_xlfn.XLOOKUP(YEAR($C22),'[1]Australia - Weights'!$A:$A,'[1]Australia - Weights'!B:B)),
LN(_xlfn.XLOOKUP(YEAR($C22),'[1]Australia - Weights'!$A:$A,'[1]Australia - Weights'!B:B))/LN(G22)))</f>
        <v/>
      </c>
      <c r="O22" s="19" t="str">
        <f>IF($A22="","",IF(H22&lt;=_xlfn.XLOOKUP(YEAR($C22),'[1]Australia - Weights'!$A:$A,'[1]Australia - Weights'!C:C),
LN(H22)/LN(_xlfn.XLOOKUP(YEAR($C22),'[1]Australia - Weights'!$A:$A,'[1]Australia - Weights'!C:C)),
LN(_xlfn.XLOOKUP(YEAR($C22),'[1]Australia - Weights'!$A:$A,'[1]Australia - Weights'!C:C))/LN(H22)))</f>
        <v/>
      </c>
      <c r="P22" s="19" t="str">
        <f>IF($A22="","",IF(I22&lt;=_xlfn.XLOOKUP(YEAR($C22),'[1]Australia - Weights'!$A:$A,'[1]Australia - Weights'!D:D),
LN(I22)/LN(_xlfn.XLOOKUP(YEAR($C22),'[1]Australia - Weights'!$A:$A,'[1]Australia - Weights'!D:D)),
LN(_xlfn.XLOOKUP(YEAR($C22),'[1]Australia - Weights'!$A:$A,'[1]Australia - Weights'!D:D))/LN(I22)))</f>
        <v/>
      </c>
      <c r="Q22" s="19" t="str">
        <f t="shared" si="0"/>
        <v/>
      </c>
    </row>
    <row r="23" spans="2:17" x14ac:dyDescent="0.35">
      <c r="B23" s="8"/>
      <c r="C23" s="15"/>
      <c r="D23" s="16"/>
      <c r="E23" s="10"/>
      <c r="F23" s="10"/>
      <c r="G23" s="18"/>
      <c r="I23" s="19"/>
      <c r="J23" s="19" t="str">
        <f>IF($A23="","",IF(G23&lt;=_xlfn.XLOOKUP(YEAR($C23),'[1]Australia - Weights'!$A:$A,'[1]Australia - Weights'!B:B),
G23/_xlfn.XLOOKUP(YEAR($C23),'[1]Australia - Weights'!$A:$A,'[1]Australia - Weights'!B:B),
_xlfn.XLOOKUP(YEAR($C23),'[1]Australia - Weights'!$A:$A,'[1]Australia - Weights'!B:B)/G23))</f>
        <v/>
      </c>
      <c r="K23" s="19" t="str">
        <f>IF($A23="","",IF(H23&lt;=_xlfn.XLOOKUP(YEAR($C23),'[1]Australia - Weights'!$A:$A,'[1]Australia - Weights'!C:C),
H23/_xlfn.XLOOKUP(YEAR($C23),'[1]Australia - Weights'!$A:$A,'[1]Australia - Weights'!C:C),
_xlfn.XLOOKUP(YEAR($C23),'[1]Australia - Weights'!$A:$A,'[1]Australia - Weights'!C:C)/H23))</f>
        <v/>
      </c>
      <c r="L23" s="19" t="str">
        <f>IF($A23="","",IF(I23&lt;=_xlfn.XLOOKUP(YEAR($C23),'[1]Australia - Weights'!$A:$A,'[1]Australia - Weights'!D:D),
I23/_xlfn.XLOOKUP(YEAR($C23),'[1]Australia - Weights'!$A:$A,'[1]Australia - Weights'!D:D),
_xlfn.XLOOKUP(YEAR($C23),'[1]Australia - Weights'!$A:$A,'[1]Australia - Weights'!D:D)/I23))</f>
        <v/>
      </c>
      <c r="M23" s="19" t="str">
        <f t="shared" si="1"/>
        <v/>
      </c>
      <c r="N23" s="19" t="str">
        <f>IF($A23="","",IF(G23&lt;=_xlfn.XLOOKUP(YEAR($C23),'[1]Australia - Weights'!$A:$A,'[1]Australia - Weights'!B:B),
LN(G23)/LN(_xlfn.XLOOKUP(YEAR($C23),'[1]Australia - Weights'!$A:$A,'[1]Australia - Weights'!B:B)),
LN(_xlfn.XLOOKUP(YEAR($C23),'[1]Australia - Weights'!$A:$A,'[1]Australia - Weights'!B:B))/LN(G23)))</f>
        <v/>
      </c>
      <c r="O23" s="19" t="str">
        <f>IF($A23="","",IF(H23&lt;=_xlfn.XLOOKUP(YEAR($C23),'[1]Australia - Weights'!$A:$A,'[1]Australia - Weights'!C:C),
LN(H23)/LN(_xlfn.XLOOKUP(YEAR($C23),'[1]Australia - Weights'!$A:$A,'[1]Australia - Weights'!C:C)),
LN(_xlfn.XLOOKUP(YEAR($C23),'[1]Australia - Weights'!$A:$A,'[1]Australia - Weights'!C:C))/LN(H23)))</f>
        <v/>
      </c>
      <c r="P23" s="19" t="str">
        <f>IF($A23="","",IF(I23&lt;=_xlfn.XLOOKUP(YEAR($C23),'[1]Australia - Weights'!$A:$A,'[1]Australia - Weights'!D:D),
LN(I23)/LN(_xlfn.XLOOKUP(YEAR($C23),'[1]Australia - Weights'!$A:$A,'[1]Australia - Weights'!D:D)),
LN(_xlfn.XLOOKUP(YEAR($C23),'[1]Australia - Weights'!$A:$A,'[1]Australia - Weights'!D:D))/LN(I23)))</f>
        <v/>
      </c>
      <c r="Q23" s="19" t="str">
        <f t="shared" si="0"/>
        <v/>
      </c>
    </row>
    <row r="24" spans="2:17" x14ac:dyDescent="0.35">
      <c r="B24" s="8"/>
      <c r="C24" s="15"/>
      <c r="D24" s="16"/>
      <c r="E24" s="10"/>
      <c r="F24" s="10"/>
      <c r="G24" s="18"/>
      <c r="I24" s="19"/>
      <c r="J24" s="19" t="str">
        <f>IF($A24="","",IF(G24&lt;=_xlfn.XLOOKUP(YEAR($C24),'[1]Australia - Weights'!$A:$A,'[1]Australia - Weights'!B:B),
G24/_xlfn.XLOOKUP(YEAR($C24),'[1]Australia - Weights'!$A:$A,'[1]Australia - Weights'!B:B),
_xlfn.XLOOKUP(YEAR($C24),'[1]Australia - Weights'!$A:$A,'[1]Australia - Weights'!B:B)/G24))</f>
        <v/>
      </c>
      <c r="K24" s="19" t="str">
        <f>IF($A24="","",IF(H24&lt;=_xlfn.XLOOKUP(YEAR($C24),'[1]Australia - Weights'!$A:$A,'[1]Australia - Weights'!C:C),
H24/_xlfn.XLOOKUP(YEAR($C24),'[1]Australia - Weights'!$A:$A,'[1]Australia - Weights'!C:C),
_xlfn.XLOOKUP(YEAR($C24),'[1]Australia - Weights'!$A:$A,'[1]Australia - Weights'!C:C)/H24))</f>
        <v/>
      </c>
      <c r="L24" s="19" t="str">
        <f>IF($A24="","",IF(I24&lt;=_xlfn.XLOOKUP(YEAR($C24),'[1]Australia - Weights'!$A:$A,'[1]Australia - Weights'!D:D),
I24/_xlfn.XLOOKUP(YEAR($C24),'[1]Australia - Weights'!$A:$A,'[1]Australia - Weights'!D:D),
_xlfn.XLOOKUP(YEAR($C24),'[1]Australia - Weights'!$A:$A,'[1]Australia - Weights'!D:D)/I24))</f>
        <v/>
      </c>
      <c r="M24" s="19" t="str">
        <f t="shared" si="1"/>
        <v/>
      </c>
      <c r="N24" s="19" t="str">
        <f>IF($A24="","",IF(G24&lt;=_xlfn.XLOOKUP(YEAR($C24),'[1]Australia - Weights'!$A:$A,'[1]Australia - Weights'!B:B),
LN(G24)/LN(_xlfn.XLOOKUP(YEAR($C24),'[1]Australia - Weights'!$A:$A,'[1]Australia - Weights'!B:B)),
LN(_xlfn.XLOOKUP(YEAR($C24),'[1]Australia - Weights'!$A:$A,'[1]Australia - Weights'!B:B))/LN(G24)))</f>
        <v/>
      </c>
      <c r="O24" s="19" t="str">
        <f>IF($A24="","",IF(H24&lt;=_xlfn.XLOOKUP(YEAR($C24),'[1]Australia - Weights'!$A:$A,'[1]Australia - Weights'!C:C),
LN(H24)/LN(_xlfn.XLOOKUP(YEAR($C24),'[1]Australia - Weights'!$A:$A,'[1]Australia - Weights'!C:C)),
LN(_xlfn.XLOOKUP(YEAR($C24),'[1]Australia - Weights'!$A:$A,'[1]Australia - Weights'!C:C))/LN(H24)))</f>
        <v/>
      </c>
      <c r="P24" s="19" t="str">
        <f>IF($A24="","",IF(I24&lt;=_xlfn.XLOOKUP(YEAR($C24),'[1]Australia - Weights'!$A:$A,'[1]Australia - Weights'!D:D),
LN(I24)/LN(_xlfn.XLOOKUP(YEAR($C24),'[1]Australia - Weights'!$A:$A,'[1]Australia - Weights'!D:D)),
LN(_xlfn.XLOOKUP(YEAR($C24),'[1]Australia - Weights'!$A:$A,'[1]Australia - Weights'!D:D))/LN(I24)))</f>
        <v/>
      </c>
      <c r="Q24" s="19" t="str">
        <f t="shared" si="0"/>
        <v/>
      </c>
    </row>
    <row r="25" spans="2:17" x14ac:dyDescent="0.35">
      <c r="B25" s="8"/>
      <c r="C25" s="15"/>
      <c r="D25" s="16"/>
      <c r="E25" s="10"/>
      <c r="F25" s="10"/>
      <c r="G25" s="18"/>
      <c r="I25" s="19"/>
      <c r="J25" s="19" t="str">
        <f>IF($A25="","",IF(G25&lt;=_xlfn.XLOOKUP(YEAR($C25),'[1]Australia - Weights'!$A:$A,'[1]Australia - Weights'!B:B),
G25/_xlfn.XLOOKUP(YEAR($C25),'[1]Australia - Weights'!$A:$A,'[1]Australia - Weights'!B:B),
_xlfn.XLOOKUP(YEAR($C25),'[1]Australia - Weights'!$A:$A,'[1]Australia - Weights'!B:B)/G25))</f>
        <v/>
      </c>
      <c r="K25" s="19" t="str">
        <f>IF($A25="","",IF(H25&lt;=_xlfn.XLOOKUP(YEAR($C25),'[1]Australia - Weights'!$A:$A,'[1]Australia - Weights'!C:C),
H25/_xlfn.XLOOKUP(YEAR($C25),'[1]Australia - Weights'!$A:$A,'[1]Australia - Weights'!C:C),
_xlfn.XLOOKUP(YEAR($C25),'[1]Australia - Weights'!$A:$A,'[1]Australia - Weights'!C:C)/H25))</f>
        <v/>
      </c>
      <c r="L25" s="19" t="str">
        <f>IF($A25="","",IF(I25&lt;=_xlfn.XLOOKUP(YEAR($C25),'[1]Australia - Weights'!$A:$A,'[1]Australia - Weights'!D:D),
I25/_xlfn.XLOOKUP(YEAR($C25),'[1]Australia - Weights'!$A:$A,'[1]Australia - Weights'!D:D),
_xlfn.XLOOKUP(YEAR($C25),'[1]Australia - Weights'!$A:$A,'[1]Australia - Weights'!D:D)/I25))</f>
        <v/>
      </c>
      <c r="M25" s="19" t="str">
        <f t="shared" si="1"/>
        <v/>
      </c>
      <c r="N25" s="19" t="str">
        <f>IF($A25="","",IF(G25&lt;=_xlfn.XLOOKUP(YEAR($C25),'[1]Australia - Weights'!$A:$A,'[1]Australia - Weights'!B:B),
LN(G25)/LN(_xlfn.XLOOKUP(YEAR($C25),'[1]Australia - Weights'!$A:$A,'[1]Australia - Weights'!B:B)),
LN(_xlfn.XLOOKUP(YEAR($C25),'[1]Australia - Weights'!$A:$A,'[1]Australia - Weights'!B:B))/LN(G25)))</f>
        <v/>
      </c>
      <c r="O25" s="19" t="str">
        <f>IF($A25="","",IF(H25&lt;=_xlfn.XLOOKUP(YEAR($C25),'[1]Australia - Weights'!$A:$A,'[1]Australia - Weights'!C:C),
LN(H25)/LN(_xlfn.XLOOKUP(YEAR($C25),'[1]Australia - Weights'!$A:$A,'[1]Australia - Weights'!C:C)),
LN(_xlfn.XLOOKUP(YEAR($C25),'[1]Australia - Weights'!$A:$A,'[1]Australia - Weights'!C:C))/LN(H25)))</f>
        <v/>
      </c>
      <c r="P25" s="19" t="str">
        <f>IF($A25="","",IF(I25&lt;=_xlfn.XLOOKUP(YEAR($C25),'[1]Australia - Weights'!$A:$A,'[1]Australia - Weights'!D:D),
LN(I25)/LN(_xlfn.XLOOKUP(YEAR($C25),'[1]Australia - Weights'!$A:$A,'[1]Australia - Weights'!D:D)),
LN(_xlfn.XLOOKUP(YEAR($C25),'[1]Australia - Weights'!$A:$A,'[1]Australia - Weights'!D:D))/LN(I25)))</f>
        <v/>
      </c>
      <c r="Q25" s="19" t="str">
        <f t="shared" si="0"/>
        <v/>
      </c>
    </row>
    <row r="26" spans="2:17" x14ac:dyDescent="0.35">
      <c r="B26" s="8"/>
      <c r="C26" s="15"/>
      <c r="D26" s="16"/>
      <c r="E26" s="10"/>
      <c r="F26" s="10"/>
      <c r="G26" s="18"/>
      <c r="I26" s="19"/>
      <c r="J26" s="19" t="str">
        <f>IF($A26="","",IF(G26&lt;=_xlfn.XLOOKUP(YEAR($C26),'[1]Australia - Weights'!$A:$A,'[1]Australia - Weights'!B:B),
G26/_xlfn.XLOOKUP(YEAR($C26),'[1]Australia - Weights'!$A:$A,'[1]Australia - Weights'!B:B),
_xlfn.XLOOKUP(YEAR($C26),'[1]Australia - Weights'!$A:$A,'[1]Australia - Weights'!B:B)/G26))</f>
        <v/>
      </c>
      <c r="K26" s="19" t="str">
        <f>IF($A26="","",IF(H26&lt;=_xlfn.XLOOKUP(YEAR($C26),'[1]Australia - Weights'!$A:$A,'[1]Australia - Weights'!C:C),
H26/_xlfn.XLOOKUP(YEAR($C26),'[1]Australia - Weights'!$A:$A,'[1]Australia - Weights'!C:C),
_xlfn.XLOOKUP(YEAR($C26),'[1]Australia - Weights'!$A:$A,'[1]Australia - Weights'!C:C)/H26))</f>
        <v/>
      </c>
      <c r="L26" s="19" t="str">
        <f>IF($A26="","",IF(I26&lt;=_xlfn.XLOOKUP(YEAR($C26),'[1]Australia - Weights'!$A:$A,'[1]Australia - Weights'!D:D),
I26/_xlfn.XLOOKUP(YEAR($C26),'[1]Australia - Weights'!$A:$A,'[1]Australia - Weights'!D:D),
_xlfn.XLOOKUP(YEAR($C26),'[1]Australia - Weights'!$A:$A,'[1]Australia - Weights'!D:D)/I26))</f>
        <v/>
      </c>
      <c r="M26" s="19" t="str">
        <f t="shared" si="1"/>
        <v/>
      </c>
      <c r="N26" s="19" t="str">
        <f>IF($A26="","",IF(G26&lt;=_xlfn.XLOOKUP(YEAR($C26),'[1]Australia - Weights'!$A:$A,'[1]Australia - Weights'!B:B),
LN(G26)/LN(_xlfn.XLOOKUP(YEAR($C26),'[1]Australia - Weights'!$A:$A,'[1]Australia - Weights'!B:B)),
LN(_xlfn.XLOOKUP(YEAR($C26),'[1]Australia - Weights'!$A:$A,'[1]Australia - Weights'!B:B))/LN(G26)))</f>
        <v/>
      </c>
      <c r="O26" s="19" t="str">
        <f>IF($A26="","",IF(H26&lt;=_xlfn.XLOOKUP(YEAR($C26),'[1]Australia - Weights'!$A:$A,'[1]Australia - Weights'!C:C),
LN(H26)/LN(_xlfn.XLOOKUP(YEAR($C26),'[1]Australia - Weights'!$A:$A,'[1]Australia - Weights'!C:C)),
LN(_xlfn.XLOOKUP(YEAR($C26),'[1]Australia - Weights'!$A:$A,'[1]Australia - Weights'!C:C))/LN(H26)))</f>
        <v/>
      </c>
      <c r="P26" s="19" t="str">
        <f>IF($A26="","",IF(I26&lt;=_xlfn.XLOOKUP(YEAR($C26),'[1]Australia - Weights'!$A:$A,'[1]Australia - Weights'!D:D),
LN(I26)/LN(_xlfn.XLOOKUP(YEAR($C26),'[1]Australia - Weights'!$A:$A,'[1]Australia - Weights'!D:D)),
LN(_xlfn.XLOOKUP(YEAR($C26),'[1]Australia - Weights'!$A:$A,'[1]Australia - Weights'!D:D))/LN(I26)))</f>
        <v/>
      </c>
      <c r="Q26" s="19" t="str">
        <f t="shared" si="0"/>
        <v/>
      </c>
    </row>
    <row r="27" spans="2:17" x14ac:dyDescent="0.35">
      <c r="B27" s="8"/>
      <c r="C27" s="15"/>
      <c r="D27" s="16"/>
      <c r="E27" s="10"/>
      <c r="F27" s="10"/>
      <c r="G27" s="18"/>
      <c r="I27" s="19"/>
      <c r="J27" s="19" t="str">
        <f>IF($A27="","",IF(G27&lt;=_xlfn.XLOOKUP(YEAR($C27),'[1]Australia - Weights'!$A:$A,'[1]Australia - Weights'!B:B),
G27/_xlfn.XLOOKUP(YEAR($C27),'[1]Australia - Weights'!$A:$A,'[1]Australia - Weights'!B:B),
_xlfn.XLOOKUP(YEAR($C27),'[1]Australia - Weights'!$A:$A,'[1]Australia - Weights'!B:B)/G27))</f>
        <v/>
      </c>
      <c r="K27" s="19" t="str">
        <f>IF($A27="","",IF(H27&lt;=_xlfn.XLOOKUP(YEAR($C27),'[1]Australia - Weights'!$A:$A,'[1]Australia - Weights'!C:C),
H27/_xlfn.XLOOKUP(YEAR($C27),'[1]Australia - Weights'!$A:$A,'[1]Australia - Weights'!C:C),
_xlfn.XLOOKUP(YEAR($C27),'[1]Australia - Weights'!$A:$A,'[1]Australia - Weights'!C:C)/H27))</f>
        <v/>
      </c>
      <c r="L27" s="19" t="str">
        <f>IF($A27="","",IF(I27&lt;=_xlfn.XLOOKUP(YEAR($C27),'[1]Australia - Weights'!$A:$A,'[1]Australia - Weights'!D:D),
I27/_xlfn.XLOOKUP(YEAR($C27),'[1]Australia - Weights'!$A:$A,'[1]Australia - Weights'!D:D),
_xlfn.XLOOKUP(YEAR($C27),'[1]Australia - Weights'!$A:$A,'[1]Australia - Weights'!D:D)/I27))</f>
        <v/>
      </c>
      <c r="M27" s="19" t="str">
        <f t="shared" si="1"/>
        <v/>
      </c>
      <c r="N27" s="19" t="str">
        <f>IF($A27="","",IF(G27&lt;=_xlfn.XLOOKUP(YEAR($C27),'[1]Australia - Weights'!$A:$A,'[1]Australia - Weights'!B:B),
LN(G27)/LN(_xlfn.XLOOKUP(YEAR($C27),'[1]Australia - Weights'!$A:$A,'[1]Australia - Weights'!B:B)),
LN(_xlfn.XLOOKUP(YEAR($C27),'[1]Australia - Weights'!$A:$A,'[1]Australia - Weights'!B:B))/LN(G27)))</f>
        <v/>
      </c>
      <c r="O27" s="19" t="str">
        <f>IF($A27="","",IF(H27&lt;=_xlfn.XLOOKUP(YEAR($C27),'[1]Australia - Weights'!$A:$A,'[1]Australia - Weights'!C:C),
LN(H27)/LN(_xlfn.XLOOKUP(YEAR($C27),'[1]Australia - Weights'!$A:$A,'[1]Australia - Weights'!C:C)),
LN(_xlfn.XLOOKUP(YEAR($C27),'[1]Australia - Weights'!$A:$A,'[1]Australia - Weights'!C:C))/LN(H27)))</f>
        <v/>
      </c>
      <c r="P27" s="19" t="str">
        <f>IF($A27="","",IF(I27&lt;=_xlfn.XLOOKUP(YEAR($C27),'[1]Australia - Weights'!$A:$A,'[1]Australia - Weights'!D:D),
LN(I27)/LN(_xlfn.XLOOKUP(YEAR($C27),'[1]Australia - Weights'!$A:$A,'[1]Australia - Weights'!D:D)),
LN(_xlfn.XLOOKUP(YEAR($C27),'[1]Australia - Weights'!$A:$A,'[1]Australia - Weights'!D:D))/LN(I27)))</f>
        <v/>
      </c>
      <c r="Q27" s="19" t="str">
        <f t="shared" si="0"/>
        <v/>
      </c>
    </row>
    <row r="28" spans="2:17" x14ac:dyDescent="0.35">
      <c r="B28" s="8"/>
      <c r="C28" s="15"/>
      <c r="D28" s="16"/>
      <c r="E28" s="10"/>
      <c r="F28" s="10"/>
      <c r="G28" s="18"/>
      <c r="I28" s="19"/>
      <c r="J28" s="19" t="str">
        <f>IF($A28="","",IF(G28&lt;=_xlfn.XLOOKUP(YEAR($C28),'[1]Australia - Weights'!$A:$A,'[1]Australia - Weights'!B:B),
G28/_xlfn.XLOOKUP(YEAR($C28),'[1]Australia - Weights'!$A:$A,'[1]Australia - Weights'!B:B),
_xlfn.XLOOKUP(YEAR($C28),'[1]Australia - Weights'!$A:$A,'[1]Australia - Weights'!B:B)/G28))</f>
        <v/>
      </c>
      <c r="K28" s="19" t="str">
        <f>IF($A28="","",IF(H28&lt;=_xlfn.XLOOKUP(YEAR($C28),'[1]Australia - Weights'!$A:$A,'[1]Australia - Weights'!C:C),
H28/_xlfn.XLOOKUP(YEAR($C28),'[1]Australia - Weights'!$A:$A,'[1]Australia - Weights'!C:C),
_xlfn.XLOOKUP(YEAR($C28),'[1]Australia - Weights'!$A:$A,'[1]Australia - Weights'!C:C)/H28))</f>
        <v/>
      </c>
      <c r="L28" s="19" t="str">
        <f>IF($A28="","",IF(I28&lt;=_xlfn.XLOOKUP(YEAR($C28),'[1]Australia - Weights'!$A:$A,'[1]Australia - Weights'!D:D),
I28/_xlfn.XLOOKUP(YEAR($C28),'[1]Australia - Weights'!$A:$A,'[1]Australia - Weights'!D:D),
_xlfn.XLOOKUP(YEAR($C28),'[1]Australia - Weights'!$A:$A,'[1]Australia - Weights'!D:D)/I28))</f>
        <v/>
      </c>
      <c r="M28" s="19" t="str">
        <f t="shared" si="1"/>
        <v/>
      </c>
      <c r="N28" s="19" t="str">
        <f>IF($A28="","",IF(G28&lt;=_xlfn.XLOOKUP(YEAR($C28),'[1]Australia - Weights'!$A:$A,'[1]Australia - Weights'!B:B),
LN(G28)/LN(_xlfn.XLOOKUP(YEAR($C28),'[1]Australia - Weights'!$A:$A,'[1]Australia - Weights'!B:B)),
LN(_xlfn.XLOOKUP(YEAR($C28),'[1]Australia - Weights'!$A:$A,'[1]Australia - Weights'!B:B))/LN(G28)))</f>
        <v/>
      </c>
      <c r="O28" s="19" t="str">
        <f>IF($A28="","",IF(H28&lt;=_xlfn.XLOOKUP(YEAR($C28),'[1]Australia - Weights'!$A:$A,'[1]Australia - Weights'!C:C),
LN(H28)/LN(_xlfn.XLOOKUP(YEAR($C28),'[1]Australia - Weights'!$A:$A,'[1]Australia - Weights'!C:C)),
LN(_xlfn.XLOOKUP(YEAR($C28),'[1]Australia - Weights'!$A:$A,'[1]Australia - Weights'!C:C))/LN(H28)))</f>
        <v/>
      </c>
      <c r="P28" s="19" t="str">
        <f>IF($A28="","",IF(I28&lt;=_xlfn.XLOOKUP(YEAR($C28),'[1]Australia - Weights'!$A:$A,'[1]Australia - Weights'!D:D),
LN(I28)/LN(_xlfn.XLOOKUP(YEAR($C28),'[1]Australia - Weights'!$A:$A,'[1]Australia - Weights'!D:D)),
LN(_xlfn.XLOOKUP(YEAR($C28),'[1]Australia - Weights'!$A:$A,'[1]Australia - Weights'!D:D))/LN(I28)))</f>
        <v/>
      </c>
      <c r="Q28" s="19" t="str">
        <f t="shared" si="0"/>
        <v/>
      </c>
    </row>
    <row r="29" spans="2:17" x14ac:dyDescent="0.35">
      <c r="B29" s="8"/>
      <c r="C29" s="15"/>
      <c r="D29" s="16"/>
      <c r="E29" s="10"/>
      <c r="F29" s="10"/>
      <c r="G29" s="18"/>
      <c r="I29" s="19"/>
      <c r="J29" s="19" t="str">
        <f>IF($A29="","",IF(G29&lt;=_xlfn.XLOOKUP(YEAR($C29),'[1]Australia - Weights'!$A:$A,'[1]Australia - Weights'!B:B),
G29/_xlfn.XLOOKUP(YEAR($C29),'[1]Australia - Weights'!$A:$A,'[1]Australia - Weights'!B:B),
_xlfn.XLOOKUP(YEAR($C29),'[1]Australia - Weights'!$A:$A,'[1]Australia - Weights'!B:B)/G29))</f>
        <v/>
      </c>
      <c r="K29" s="19" t="str">
        <f>IF($A29="","",IF(H29&lt;=_xlfn.XLOOKUP(YEAR($C29),'[1]Australia - Weights'!$A:$A,'[1]Australia - Weights'!C:C),
H29/_xlfn.XLOOKUP(YEAR($C29),'[1]Australia - Weights'!$A:$A,'[1]Australia - Weights'!C:C),
_xlfn.XLOOKUP(YEAR($C29),'[1]Australia - Weights'!$A:$A,'[1]Australia - Weights'!C:C)/H29))</f>
        <v/>
      </c>
      <c r="L29" s="19" t="str">
        <f>IF($A29="","",IF(I29&lt;=_xlfn.XLOOKUP(YEAR($C29),'[1]Australia - Weights'!$A:$A,'[1]Australia - Weights'!D:D),
I29/_xlfn.XLOOKUP(YEAR($C29),'[1]Australia - Weights'!$A:$A,'[1]Australia - Weights'!D:D),
_xlfn.XLOOKUP(YEAR($C29),'[1]Australia - Weights'!$A:$A,'[1]Australia - Weights'!D:D)/I29))</f>
        <v/>
      </c>
      <c r="M29" s="19" t="str">
        <f t="shared" si="1"/>
        <v/>
      </c>
      <c r="N29" s="19" t="str">
        <f>IF($A29="","",IF(G29&lt;=_xlfn.XLOOKUP(YEAR($C29),'[1]Australia - Weights'!$A:$A,'[1]Australia - Weights'!B:B),
LN(G29)/LN(_xlfn.XLOOKUP(YEAR($C29),'[1]Australia - Weights'!$A:$A,'[1]Australia - Weights'!B:B)),
LN(_xlfn.XLOOKUP(YEAR($C29),'[1]Australia - Weights'!$A:$A,'[1]Australia - Weights'!B:B))/LN(G29)))</f>
        <v/>
      </c>
      <c r="O29" s="19" t="str">
        <f>IF($A29="","",IF(H29&lt;=_xlfn.XLOOKUP(YEAR($C29),'[1]Australia - Weights'!$A:$A,'[1]Australia - Weights'!C:C),
LN(H29)/LN(_xlfn.XLOOKUP(YEAR($C29),'[1]Australia - Weights'!$A:$A,'[1]Australia - Weights'!C:C)),
LN(_xlfn.XLOOKUP(YEAR($C29),'[1]Australia - Weights'!$A:$A,'[1]Australia - Weights'!C:C))/LN(H29)))</f>
        <v/>
      </c>
      <c r="P29" s="19" t="str">
        <f>IF($A29="","",IF(I29&lt;=_xlfn.XLOOKUP(YEAR($C29),'[1]Australia - Weights'!$A:$A,'[1]Australia - Weights'!D:D),
LN(I29)/LN(_xlfn.XLOOKUP(YEAR($C29),'[1]Australia - Weights'!$A:$A,'[1]Australia - Weights'!D:D)),
LN(_xlfn.XLOOKUP(YEAR($C29),'[1]Australia - Weights'!$A:$A,'[1]Australia - Weights'!D:D))/LN(I29)))</f>
        <v/>
      </c>
      <c r="Q29" s="19" t="str">
        <f t="shared" si="0"/>
        <v/>
      </c>
    </row>
    <row r="30" spans="2:17" x14ac:dyDescent="0.35">
      <c r="B30" s="8"/>
      <c r="C30" s="15"/>
      <c r="D30" s="16"/>
      <c r="E30" s="10"/>
      <c r="F30" s="10"/>
      <c r="G30" s="18"/>
      <c r="I30" s="19"/>
      <c r="J30" s="19" t="str">
        <f>IF($A30="","",IF(G30&lt;=_xlfn.XLOOKUP(YEAR($C30),'[1]Australia - Weights'!$A:$A,'[1]Australia - Weights'!B:B),
G30/_xlfn.XLOOKUP(YEAR($C30),'[1]Australia - Weights'!$A:$A,'[1]Australia - Weights'!B:B),
_xlfn.XLOOKUP(YEAR($C30),'[1]Australia - Weights'!$A:$A,'[1]Australia - Weights'!B:B)/G30))</f>
        <v/>
      </c>
      <c r="K30" s="19" t="str">
        <f>IF($A30="","",IF(H30&lt;=_xlfn.XLOOKUP(YEAR($C30),'[1]Australia - Weights'!$A:$A,'[1]Australia - Weights'!C:C),
H30/_xlfn.XLOOKUP(YEAR($C30),'[1]Australia - Weights'!$A:$A,'[1]Australia - Weights'!C:C),
_xlfn.XLOOKUP(YEAR($C30),'[1]Australia - Weights'!$A:$A,'[1]Australia - Weights'!C:C)/H30))</f>
        <v/>
      </c>
      <c r="L30" s="19" t="str">
        <f>IF($A30="","",IF(I30&lt;=_xlfn.XLOOKUP(YEAR($C30),'[1]Australia - Weights'!$A:$A,'[1]Australia - Weights'!D:D),
I30/_xlfn.XLOOKUP(YEAR($C30),'[1]Australia - Weights'!$A:$A,'[1]Australia - Weights'!D:D),
_xlfn.XLOOKUP(YEAR($C30),'[1]Australia - Weights'!$A:$A,'[1]Australia - Weights'!D:D)/I30))</f>
        <v/>
      </c>
      <c r="M30" s="19" t="str">
        <f t="shared" si="1"/>
        <v/>
      </c>
      <c r="N30" s="19" t="str">
        <f>IF($A30="","",IF(G30&lt;=_xlfn.XLOOKUP(YEAR($C30),'[1]Australia - Weights'!$A:$A,'[1]Australia - Weights'!B:B),
LN(G30)/LN(_xlfn.XLOOKUP(YEAR($C30),'[1]Australia - Weights'!$A:$A,'[1]Australia - Weights'!B:B)),
LN(_xlfn.XLOOKUP(YEAR($C30),'[1]Australia - Weights'!$A:$A,'[1]Australia - Weights'!B:B))/LN(G30)))</f>
        <v/>
      </c>
      <c r="O30" s="19" t="str">
        <f>IF($A30="","",IF(H30&lt;=_xlfn.XLOOKUP(YEAR($C30),'[1]Australia - Weights'!$A:$A,'[1]Australia - Weights'!C:C),
LN(H30)/LN(_xlfn.XLOOKUP(YEAR($C30),'[1]Australia - Weights'!$A:$A,'[1]Australia - Weights'!C:C)),
LN(_xlfn.XLOOKUP(YEAR($C30),'[1]Australia - Weights'!$A:$A,'[1]Australia - Weights'!C:C))/LN(H30)))</f>
        <v/>
      </c>
      <c r="P30" s="19" t="str">
        <f>IF($A30="","",IF(I30&lt;=_xlfn.XLOOKUP(YEAR($C30),'[1]Australia - Weights'!$A:$A,'[1]Australia - Weights'!D:D),
LN(I30)/LN(_xlfn.XLOOKUP(YEAR($C30),'[1]Australia - Weights'!$A:$A,'[1]Australia - Weights'!D:D)),
LN(_xlfn.XLOOKUP(YEAR($C30),'[1]Australia - Weights'!$A:$A,'[1]Australia - Weights'!D:D))/LN(I30)))</f>
        <v/>
      </c>
      <c r="Q30" s="19" t="str">
        <f t="shared" si="0"/>
        <v/>
      </c>
    </row>
    <row r="31" spans="2:17" x14ac:dyDescent="0.35">
      <c r="B31" s="8"/>
      <c r="C31" s="15"/>
      <c r="D31" s="16"/>
      <c r="E31" s="10"/>
      <c r="F31" s="10"/>
      <c r="G31" s="18"/>
      <c r="I31" s="19"/>
      <c r="J31" s="19" t="str">
        <f>IF($A31="","",IF(G31&lt;=_xlfn.XLOOKUP(YEAR($C31),'[1]Australia - Weights'!$A:$A,'[1]Australia - Weights'!B:B),
G31/_xlfn.XLOOKUP(YEAR($C31),'[1]Australia - Weights'!$A:$A,'[1]Australia - Weights'!B:B),
_xlfn.XLOOKUP(YEAR($C31),'[1]Australia - Weights'!$A:$A,'[1]Australia - Weights'!B:B)/G31))</f>
        <v/>
      </c>
      <c r="K31" s="19" t="str">
        <f>IF($A31="","",IF(H31&lt;=_xlfn.XLOOKUP(YEAR($C31),'[1]Australia - Weights'!$A:$A,'[1]Australia - Weights'!C:C),
H31/_xlfn.XLOOKUP(YEAR($C31),'[1]Australia - Weights'!$A:$A,'[1]Australia - Weights'!C:C),
_xlfn.XLOOKUP(YEAR($C31),'[1]Australia - Weights'!$A:$A,'[1]Australia - Weights'!C:C)/H31))</f>
        <v/>
      </c>
      <c r="L31" s="19" t="str">
        <f>IF($A31="","",IF(I31&lt;=_xlfn.XLOOKUP(YEAR($C31),'[1]Australia - Weights'!$A:$A,'[1]Australia - Weights'!D:D),
I31/_xlfn.XLOOKUP(YEAR($C31),'[1]Australia - Weights'!$A:$A,'[1]Australia - Weights'!D:D),
_xlfn.XLOOKUP(YEAR($C31),'[1]Australia - Weights'!$A:$A,'[1]Australia - Weights'!D:D)/I31))</f>
        <v/>
      </c>
      <c r="M31" s="19" t="str">
        <f t="shared" ref="M31:M50" si="2">IF(A31="","",AVERAGE(J31:L31))</f>
        <v/>
      </c>
      <c r="N31" s="19" t="str">
        <f>IF($A31="","",IF(G31&lt;=_xlfn.XLOOKUP(YEAR($C31),'[1]Australia - Weights'!$A:$A,'[1]Australia - Weights'!B:B),
LN(G31)/LN(_xlfn.XLOOKUP(YEAR($C31),'[1]Australia - Weights'!$A:$A,'[1]Australia - Weights'!B:B)),
LN(_xlfn.XLOOKUP(YEAR($C31),'[1]Australia - Weights'!$A:$A,'[1]Australia - Weights'!B:B))/LN(G31)))</f>
        <v/>
      </c>
      <c r="O31" s="19" t="str">
        <f>IF($A31="","",IF(H31&lt;=_xlfn.XLOOKUP(YEAR($C31),'[1]Australia - Weights'!$A:$A,'[1]Australia - Weights'!C:C),
LN(H31)/LN(_xlfn.XLOOKUP(YEAR($C31),'[1]Australia - Weights'!$A:$A,'[1]Australia - Weights'!C:C)),
LN(_xlfn.XLOOKUP(YEAR($C31),'[1]Australia - Weights'!$A:$A,'[1]Australia - Weights'!C:C))/LN(H31)))</f>
        <v/>
      </c>
      <c r="P31" s="19" t="str">
        <f>IF($A31="","",IF(I31&lt;=_xlfn.XLOOKUP(YEAR($C31),'[1]Australia - Weights'!$A:$A,'[1]Australia - Weights'!D:D),
LN(I31)/LN(_xlfn.XLOOKUP(YEAR($C31),'[1]Australia - Weights'!$A:$A,'[1]Australia - Weights'!D:D)),
LN(_xlfn.XLOOKUP(YEAR($C31),'[1]Australia - Weights'!$A:$A,'[1]Australia - Weights'!D:D))/LN(I31)))</f>
        <v/>
      </c>
      <c r="Q31" s="19" t="str">
        <f t="shared" ref="Q31:Q50" si="3">IF(E31="","",AVERAGE(N31:P31))</f>
        <v/>
      </c>
    </row>
    <row r="32" spans="2:17" x14ac:dyDescent="0.35">
      <c r="C32" s="15"/>
      <c r="D32" s="16"/>
      <c r="E32" s="10"/>
      <c r="F32" s="10"/>
      <c r="G32" s="18"/>
      <c r="I32" s="19"/>
      <c r="J32" s="19"/>
      <c r="K32" s="19" t="str">
        <f>IF($A32="","",IF(H32&lt;=_xlfn.XLOOKUP(YEAR($C32),'[1]Australia - Weights'!$A:$A,'[1]Australia - Weights'!C:C),
H32/_xlfn.XLOOKUP(YEAR($C32),'[1]Australia - Weights'!$A:$A,'[1]Australia - Weights'!C:C),
_xlfn.XLOOKUP(YEAR($C32),'[1]Australia - Weights'!$A:$A,'[1]Australia - Weights'!C:C)/H32))</f>
        <v/>
      </c>
      <c r="L32" s="19" t="str">
        <f>IF($A32="","",IF(I32&lt;=_xlfn.XLOOKUP(YEAR($C32),'[1]Australia - Weights'!$A:$A,'[1]Australia - Weights'!D:D),
I32/_xlfn.XLOOKUP(YEAR($C32),'[1]Australia - Weights'!$A:$A,'[1]Australia - Weights'!D:D),
_xlfn.XLOOKUP(YEAR($C32),'[1]Australia - Weights'!$A:$A,'[1]Australia - Weights'!D:D)/I32))</f>
        <v/>
      </c>
      <c r="M32" s="19" t="str">
        <f t="shared" si="2"/>
        <v/>
      </c>
      <c r="N32" s="19" t="str">
        <f>IF($A32="","",IF(G32&lt;=_xlfn.XLOOKUP(YEAR($C32),'[1]Australia - Weights'!$A:$A,'[1]Australia - Weights'!B:B),
LN(G32)/LN(_xlfn.XLOOKUP(YEAR($C32),'[1]Australia - Weights'!$A:$A,'[1]Australia - Weights'!B:B)),
LN(_xlfn.XLOOKUP(YEAR($C32),'[1]Australia - Weights'!$A:$A,'[1]Australia - Weights'!B:B))/LN(G32)))</f>
        <v/>
      </c>
      <c r="O32" s="19" t="str">
        <f>IF($A32="","",IF(H32&lt;=_xlfn.XLOOKUP(YEAR($C32),'[1]Australia - Weights'!$A:$A,'[1]Australia - Weights'!C:C),
LN(H32)/LN(_xlfn.XLOOKUP(YEAR($C32),'[1]Australia - Weights'!$A:$A,'[1]Australia - Weights'!C:C)),
LN(_xlfn.XLOOKUP(YEAR($C32),'[1]Australia - Weights'!$A:$A,'[1]Australia - Weights'!C:C))/LN(H32)))</f>
        <v/>
      </c>
      <c r="P32" s="19" t="str">
        <f>IF($A32="","",IF(I32&lt;=_xlfn.XLOOKUP(YEAR($C32),'[1]Australia - Weights'!$A:$A,'[1]Australia - Weights'!D:D),
LN(I32)/LN(_xlfn.XLOOKUP(YEAR($C32),'[1]Australia - Weights'!$A:$A,'[1]Australia - Weights'!D:D)),
LN(_xlfn.XLOOKUP(YEAR($C32),'[1]Australia - Weights'!$A:$A,'[1]Australia - Weights'!D:D))/LN(I32)))</f>
        <v/>
      </c>
      <c r="Q32" s="19" t="str">
        <f t="shared" si="3"/>
        <v/>
      </c>
    </row>
    <row r="33" spans="1:20" x14ac:dyDescent="0.35">
      <c r="C33" s="15"/>
      <c r="D33" s="16"/>
      <c r="E33" s="10"/>
      <c r="F33" s="10"/>
      <c r="G33" s="18"/>
      <c r="I33" s="19"/>
      <c r="J33" s="19" t="str">
        <f>IF($A33="","",IF(G33&lt;=_xlfn.XLOOKUP(YEAR($C33),'[1]Australia - Weights'!$A:$A,'[1]Australia - Weights'!B:B),
G33/_xlfn.XLOOKUP(YEAR($C33),'[1]Australia - Weights'!$A:$A,'[1]Australia - Weights'!B:B),
_xlfn.XLOOKUP(YEAR($C33),'[1]Australia - Weights'!$A:$A,'[1]Australia - Weights'!B:B)/G33))</f>
        <v/>
      </c>
      <c r="K33" s="19" t="str">
        <f>IF($A33="","",IF(H33&lt;=_xlfn.XLOOKUP(YEAR($C33),'[1]Australia - Weights'!$A:$A,'[1]Australia - Weights'!C:C),
H33/_xlfn.XLOOKUP(YEAR($C33),'[1]Australia - Weights'!$A:$A,'[1]Australia - Weights'!C:C),
_xlfn.XLOOKUP(YEAR($C33),'[1]Australia - Weights'!$A:$A,'[1]Australia - Weights'!C:C)/H33))</f>
        <v/>
      </c>
      <c r="L33" s="19" t="str">
        <f>IF($A33="","",IF(I33&lt;=_xlfn.XLOOKUP(YEAR($C33),'[1]Australia - Weights'!$A:$A,'[1]Australia - Weights'!D:D),
I33/_xlfn.XLOOKUP(YEAR($C33),'[1]Australia - Weights'!$A:$A,'[1]Australia - Weights'!D:D),
_xlfn.XLOOKUP(YEAR($C33),'[1]Australia - Weights'!$A:$A,'[1]Australia - Weights'!D:D)/I33))</f>
        <v/>
      </c>
      <c r="M33" s="19" t="str">
        <f t="shared" si="2"/>
        <v/>
      </c>
      <c r="N33" s="19" t="str">
        <f>IF($A33="","",IF(G33&lt;=_xlfn.XLOOKUP(YEAR($C33),'[1]Australia - Weights'!$A:$A,'[1]Australia - Weights'!B:B),
LN(G33)/LN(_xlfn.XLOOKUP(YEAR($C33),'[1]Australia - Weights'!$A:$A,'[1]Australia - Weights'!B:B)),
LN(_xlfn.XLOOKUP(YEAR($C33),'[1]Australia - Weights'!$A:$A,'[1]Australia - Weights'!B:B))/LN(G33)))</f>
        <v/>
      </c>
      <c r="O33" s="19" t="str">
        <f>IF($A33="","",IF(H33&lt;=_xlfn.XLOOKUP(YEAR($C33),'[1]Australia - Weights'!$A:$A,'[1]Australia - Weights'!C:C),
LN(H33)/LN(_xlfn.XLOOKUP(YEAR($C33),'[1]Australia - Weights'!$A:$A,'[1]Australia - Weights'!C:C)),
LN(_xlfn.XLOOKUP(YEAR($C33),'[1]Australia - Weights'!$A:$A,'[1]Australia - Weights'!C:C))/LN(H33)))</f>
        <v/>
      </c>
      <c r="P33" s="19" t="str">
        <f>IF($A33="","",IF(I33&lt;=_xlfn.XLOOKUP(YEAR($C33),'[1]Australia - Weights'!$A:$A,'[1]Australia - Weights'!D:D),
LN(I33)/LN(_xlfn.XLOOKUP(YEAR($C33),'[1]Australia - Weights'!$A:$A,'[1]Australia - Weights'!D:D)),
LN(_xlfn.XLOOKUP(YEAR($C33),'[1]Australia - Weights'!$A:$A,'[1]Australia - Weights'!D:D))/LN(I33)))</f>
        <v/>
      </c>
      <c r="Q33" s="19" t="str">
        <f t="shared" si="3"/>
        <v/>
      </c>
    </row>
    <row r="34" spans="1:20" s="4" customFormat="1" x14ac:dyDescent="0.35">
      <c r="A34" s="12"/>
      <c r="B34" s="13"/>
      <c r="C34" s="15"/>
      <c r="D34" s="16"/>
      <c r="E34" s="10"/>
      <c r="F34" s="10"/>
      <c r="G34" s="18"/>
      <c r="H34" s="13"/>
      <c r="I34" s="19"/>
      <c r="J34" s="19" t="str">
        <f>IF($A34="","",IF(G34&lt;=_xlfn.XLOOKUP(YEAR($C34),'[1]Australia - Weights'!$A:$A,'[1]Australia - Weights'!B:B),
G34/_xlfn.XLOOKUP(YEAR($C34),'[1]Australia - Weights'!$A:$A,'[1]Australia - Weights'!B:B),
_xlfn.XLOOKUP(YEAR($C34),'[1]Australia - Weights'!$A:$A,'[1]Australia - Weights'!B:B)/G34))</f>
        <v/>
      </c>
      <c r="K34" s="19" t="str">
        <f>IF($A34="","",IF(H34&lt;=_xlfn.XLOOKUP(YEAR($C34),'[1]Australia - Weights'!$A:$A,'[1]Australia - Weights'!C:C),
H34/_xlfn.XLOOKUP(YEAR($C34),'[1]Australia - Weights'!$A:$A,'[1]Australia - Weights'!C:C),
_xlfn.XLOOKUP(YEAR($C34),'[1]Australia - Weights'!$A:$A,'[1]Australia - Weights'!C:C)/H34))</f>
        <v/>
      </c>
      <c r="L34" s="19" t="str">
        <f>IF($A34="","",IF(I34&lt;=_xlfn.XLOOKUP(YEAR($C34),'[1]Australia - Weights'!$A:$A,'[1]Australia - Weights'!D:D),
I34/_xlfn.XLOOKUP(YEAR($C34),'[1]Australia - Weights'!$A:$A,'[1]Australia - Weights'!D:D),
_xlfn.XLOOKUP(YEAR($C34),'[1]Australia - Weights'!$A:$A,'[1]Australia - Weights'!D:D)/I34))</f>
        <v/>
      </c>
      <c r="M34" s="19" t="str">
        <f t="shared" si="2"/>
        <v/>
      </c>
      <c r="N34" s="19" t="str">
        <f>IF($A34="","",IF(G34&lt;=_xlfn.XLOOKUP(YEAR($C34),'[1]Australia - Weights'!$A:$A,'[1]Australia - Weights'!B:B),
LN(G34)/LN(_xlfn.XLOOKUP(YEAR($C34),'[1]Australia - Weights'!$A:$A,'[1]Australia - Weights'!B:B)),
LN(_xlfn.XLOOKUP(YEAR($C34),'[1]Australia - Weights'!$A:$A,'[1]Australia - Weights'!B:B))/LN(G34)))</f>
        <v/>
      </c>
      <c r="O34" s="19" t="str">
        <f>IF($A34="","",IF(H34&lt;=_xlfn.XLOOKUP(YEAR($C34),'[1]Australia - Weights'!$A:$A,'[1]Australia - Weights'!C:C),
LN(H34)/LN(_xlfn.XLOOKUP(YEAR($C34),'[1]Australia - Weights'!$A:$A,'[1]Australia - Weights'!C:C)),
LN(_xlfn.XLOOKUP(YEAR($C34),'[1]Australia - Weights'!$A:$A,'[1]Australia - Weights'!C:C))/LN(H34)))</f>
        <v/>
      </c>
      <c r="P34" s="19" t="str">
        <f>IF($A34="","",IF(I34&lt;=_xlfn.XLOOKUP(YEAR($C34),'[1]Australia - Weights'!$A:$A,'[1]Australia - Weights'!D:D),
LN(I34)/LN(_xlfn.XLOOKUP(YEAR($C34),'[1]Australia - Weights'!$A:$A,'[1]Australia - Weights'!D:D)),
LN(_xlfn.XLOOKUP(YEAR($C34),'[1]Australia - Weights'!$A:$A,'[1]Australia - Weights'!D:D))/LN(I34)))</f>
        <v/>
      </c>
      <c r="Q34" s="19" t="str">
        <f t="shared" si="3"/>
        <v/>
      </c>
      <c r="R34" s="12"/>
      <c r="S34" s="12"/>
      <c r="T34" s="12"/>
    </row>
    <row r="35" spans="1:20" s="4" customFormat="1" x14ac:dyDescent="0.35">
      <c r="A35" s="12"/>
      <c r="B35" s="13"/>
      <c r="C35" s="15"/>
      <c r="D35" s="16"/>
      <c r="E35" s="10"/>
      <c r="F35" s="10"/>
      <c r="G35" s="18"/>
      <c r="H35" s="13"/>
      <c r="I35" s="19"/>
      <c r="J35" s="19" t="str">
        <f>IF($A35="","",IF(G35&lt;=_xlfn.XLOOKUP(YEAR($C35),'[1]Australia - Weights'!$A:$A,'[1]Australia - Weights'!B:B),
G35/_xlfn.XLOOKUP(YEAR($C35),'[1]Australia - Weights'!$A:$A,'[1]Australia - Weights'!B:B),
_xlfn.XLOOKUP(YEAR($C35),'[1]Australia - Weights'!$A:$A,'[1]Australia - Weights'!B:B)/G35))</f>
        <v/>
      </c>
      <c r="K35" s="19" t="str">
        <f>IF($A35="","",IF(H35&lt;=_xlfn.XLOOKUP(YEAR($C35),'[1]Australia - Weights'!$A:$A,'[1]Australia - Weights'!C:C),
H35/_xlfn.XLOOKUP(YEAR($C35),'[1]Australia - Weights'!$A:$A,'[1]Australia - Weights'!C:C),
_xlfn.XLOOKUP(YEAR($C35),'[1]Australia - Weights'!$A:$A,'[1]Australia - Weights'!C:C)/H35))</f>
        <v/>
      </c>
      <c r="L35" s="19" t="str">
        <f>IF($A35="","",IF(I35&lt;=_xlfn.XLOOKUP(YEAR($C35),'[1]Australia - Weights'!$A:$A,'[1]Australia - Weights'!D:D),
I35/_xlfn.XLOOKUP(YEAR($C35),'[1]Australia - Weights'!$A:$A,'[1]Australia - Weights'!D:D),
_xlfn.XLOOKUP(YEAR($C35),'[1]Australia - Weights'!$A:$A,'[1]Australia - Weights'!D:D)/I35))</f>
        <v/>
      </c>
      <c r="M35" s="19" t="str">
        <f t="shared" si="2"/>
        <v/>
      </c>
      <c r="N35" s="19" t="str">
        <f>IF($A35="","",IF(G35&lt;=_xlfn.XLOOKUP(YEAR($C35),'[1]Australia - Weights'!$A:$A,'[1]Australia - Weights'!B:B),
LN(G35)/LN(_xlfn.XLOOKUP(YEAR($C35),'[1]Australia - Weights'!$A:$A,'[1]Australia - Weights'!B:B)),
LN(_xlfn.XLOOKUP(YEAR($C35),'[1]Australia - Weights'!$A:$A,'[1]Australia - Weights'!B:B))/LN(G35)))</f>
        <v/>
      </c>
      <c r="O35" s="19" t="str">
        <f>IF($A35="","",IF(H35&lt;=_xlfn.XLOOKUP(YEAR($C35),'[1]Australia - Weights'!$A:$A,'[1]Australia - Weights'!C:C),
LN(H35)/LN(_xlfn.XLOOKUP(YEAR($C35),'[1]Australia - Weights'!$A:$A,'[1]Australia - Weights'!C:C)),
LN(_xlfn.XLOOKUP(YEAR($C35),'[1]Australia - Weights'!$A:$A,'[1]Australia - Weights'!C:C))/LN(H35)))</f>
        <v/>
      </c>
      <c r="P35" s="19" t="str">
        <f>IF($A35="","",IF(I35&lt;=_xlfn.XLOOKUP(YEAR($C35),'[1]Australia - Weights'!$A:$A,'[1]Australia - Weights'!D:D),
LN(I35)/LN(_xlfn.XLOOKUP(YEAR($C35),'[1]Australia - Weights'!$A:$A,'[1]Australia - Weights'!D:D)),
LN(_xlfn.XLOOKUP(YEAR($C35),'[1]Australia - Weights'!$A:$A,'[1]Australia - Weights'!D:D))/LN(I35)))</f>
        <v/>
      </c>
      <c r="Q35" s="19" t="str">
        <f t="shared" si="3"/>
        <v/>
      </c>
      <c r="R35" s="12"/>
      <c r="S35" s="12"/>
      <c r="T35" s="12"/>
    </row>
    <row r="36" spans="1:20" s="4" customFormat="1" x14ac:dyDescent="0.35">
      <c r="A36" s="12"/>
      <c r="B36" s="13"/>
      <c r="C36" s="15"/>
      <c r="D36" s="16"/>
      <c r="E36" s="10"/>
      <c r="F36" s="10"/>
      <c r="G36" s="18"/>
      <c r="H36" s="13"/>
      <c r="I36" s="19"/>
      <c r="J36" s="19" t="str">
        <f>IF($A36="","",IF(G36&lt;=_xlfn.XLOOKUP(YEAR($C36),'[1]Australia - Weights'!$A:$A,'[1]Australia - Weights'!B:B),
G36/_xlfn.XLOOKUP(YEAR($C36),'[1]Australia - Weights'!$A:$A,'[1]Australia - Weights'!B:B),
_xlfn.XLOOKUP(YEAR($C36),'[1]Australia - Weights'!$A:$A,'[1]Australia - Weights'!B:B)/G36))</f>
        <v/>
      </c>
      <c r="K36" s="19" t="str">
        <f>IF($A36="","",IF(H36&lt;=_xlfn.XLOOKUP(YEAR($C36),'[1]Australia - Weights'!$A:$A,'[1]Australia - Weights'!C:C),
H36/_xlfn.XLOOKUP(YEAR($C36),'[1]Australia - Weights'!$A:$A,'[1]Australia - Weights'!C:C),
_xlfn.XLOOKUP(YEAR($C36),'[1]Australia - Weights'!$A:$A,'[1]Australia - Weights'!C:C)/H36))</f>
        <v/>
      </c>
      <c r="L36" s="19" t="str">
        <f>IF($A36="","",IF(I36&lt;=_xlfn.XLOOKUP(YEAR($C36),'[1]Australia - Weights'!$A:$A,'[1]Australia - Weights'!D:D),
I36/_xlfn.XLOOKUP(YEAR($C36),'[1]Australia - Weights'!$A:$A,'[1]Australia - Weights'!D:D),
_xlfn.XLOOKUP(YEAR($C36),'[1]Australia - Weights'!$A:$A,'[1]Australia - Weights'!D:D)/I36))</f>
        <v/>
      </c>
      <c r="M36" s="19" t="str">
        <f t="shared" si="2"/>
        <v/>
      </c>
      <c r="N36" s="19" t="str">
        <f>IF($A36="","",IF(G36&lt;=_xlfn.XLOOKUP(YEAR($C36),'[1]Australia - Weights'!$A:$A,'[1]Australia - Weights'!B:B),
LN(G36)/LN(_xlfn.XLOOKUP(YEAR($C36),'[1]Australia - Weights'!$A:$A,'[1]Australia - Weights'!B:B)),
LN(_xlfn.XLOOKUP(YEAR($C36),'[1]Australia - Weights'!$A:$A,'[1]Australia - Weights'!B:B))/LN(G36)))</f>
        <v/>
      </c>
      <c r="O36" s="19" t="str">
        <f>IF($A36="","",IF(H36&lt;=_xlfn.XLOOKUP(YEAR($C36),'[1]Australia - Weights'!$A:$A,'[1]Australia - Weights'!C:C),
LN(H36)/LN(_xlfn.XLOOKUP(YEAR($C36),'[1]Australia - Weights'!$A:$A,'[1]Australia - Weights'!C:C)),
LN(_xlfn.XLOOKUP(YEAR($C36),'[1]Australia - Weights'!$A:$A,'[1]Australia - Weights'!C:C))/LN(H36)))</f>
        <v/>
      </c>
      <c r="P36" s="19" t="str">
        <f>IF($A36="","",IF(I36&lt;=_xlfn.XLOOKUP(YEAR($C36),'[1]Australia - Weights'!$A:$A,'[1]Australia - Weights'!D:D),
LN(I36)/LN(_xlfn.XLOOKUP(YEAR($C36),'[1]Australia - Weights'!$A:$A,'[1]Australia - Weights'!D:D)),
LN(_xlfn.XLOOKUP(YEAR($C36),'[1]Australia - Weights'!$A:$A,'[1]Australia - Weights'!D:D))/LN(I36)))</f>
        <v/>
      </c>
      <c r="Q36" s="19" t="str">
        <f t="shared" si="3"/>
        <v/>
      </c>
      <c r="R36" s="12"/>
      <c r="S36" s="12"/>
      <c r="T36" s="12"/>
    </row>
    <row r="37" spans="1:20" s="4" customFormat="1" x14ac:dyDescent="0.35">
      <c r="A37" s="12"/>
      <c r="B37" s="13"/>
      <c r="C37" s="15"/>
      <c r="D37" s="16"/>
      <c r="E37" s="10"/>
      <c r="F37" s="10"/>
      <c r="G37" s="18"/>
      <c r="H37" s="13"/>
      <c r="I37" s="19"/>
      <c r="J37" s="19" t="str">
        <f>IF($A37="","",IF(G37&lt;=_xlfn.XLOOKUP(YEAR($C37),'[1]Australia - Weights'!$A:$A,'[1]Australia - Weights'!B:B),
G37/_xlfn.XLOOKUP(YEAR($C37),'[1]Australia - Weights'!$A:$A,'[1]Australia - Weights'!B:B),
_xlfn.XLOOKUP(YEAR($C37),'[1]Australia - Weights'!$A:$A,'[1]Australia - Weights'!B:B)/G37))</f>
        <v/>
      </c>
      <c r="K37" s="19" t="str">
        <f>IF($A37="","",IF(H37&lt;=_xlfn.XLOOKUP(YEAR($C37),'[1]Australia - Weights'!$A:$A,'[1]Australia - Weights'!C:C),
H37/_xlfn.XLOOKUP(YEAR($C37),'[1]Australia - Weights'!$A:$A,'[1]Australia - Weights'!C:C),
_xlfn.XLOOKUP(YEAR($C37),'[1]Australia - Weights'!$A:$A,'[1]Australia - Weights'!C:C)/H37))</f>
        <v/>
      </c>
      <c r="L37" s="19" t="str">
        <f>IF($A37="","",IF(I37&lt;=_xlfn.XLOOKUP(YEAR($C37),'[1]Australia - Weights'!$A:$A,'[1]Australia - Weights'!D:D),
I37/_xlfn.XLOOKUP(YEAR($C37),'[1]Australia - Weights'!$A:$A,'[1]Australia - Weights'!D:D),
_xlfn.XLOOKUP(YEAR($C37),'[1]Australia - Weights'!$A:$A,'[1]Australia - Weights'!D:D)/I37))</f>
        <v/>
      </c>
      <c r="M37" s="19" t="str">
        <f t="shared" si="2"/>
        <v/>
      </c>
      <c r="N37" s="19" t="str">
        <f>IF($A37="","",IF(G37&lt;=_xlfn.XLOOKUP(YEAR($C37),'[1]Australia - Weights'!$A:$A,'[1]Australia - Weights'!B:B),
LN(G37)/LN(_xlfn.XLOOKUP(YEAR($C37),'[1]Australia - Weights'!$A:$A,'[1]Australia - Weights'!B:B)),
LN(_xlfn.XLOOKUP(YEAR($C37),'[1]Australia - Weights'!$A:$A,'[1]Australia - Weights'!B:B))/LN(G37)))</f>
        <v/>
      </c>
      <c r="O37" s="19" t="str">
        <f>IF($A37="","",IF(H37&lt;=_xlfn.XLOOKUP(YEAR($C37),'[1]Australia - Weights'!$A:$A,'[1]Australia - Weights'!C:C),
LN(H37)/LN(_xlfn.XLOOKUP(YEAR($C37),'[1]Australia - Weights'!$A:$A,'[1]Australia - Weights'!C:C)),
LN(_xlfn.XLOOKUP(YEAR($C37),'[1]Australia - Weights'!$A:$A,'[1]Australia - Weights'!C:C))/LN(H37)))</f>
        <v/>
      </c>
      <c r="P37" s="19" t="str">
        <f>IF($A37="","",IF(I37&lt;=_xlfn.XLOOKUP(YEAR($C37),'[1]Australia - Weights'!$A:$A,'[1]Australia - Weights'!D:D),
LN(I37)/LN(_xlfn.XLOOKUP(YEAR($C37),'[1]Australia - Weights'!$A:$A,'[1]Australia - Weights'!D:D)),
LN(_xlfn.XLOOKUP(YEAR($C37),'[1]Australia - Weights'!$A:$A,'[1]Australia - Weights'!D:D))/LN(I37)))</f>
        <v/>
      </c>
      <c r="Q37" s="19" t="str">
        <f t="shared" si="3"/>
        <v/>
      </c>
      <c r="R37" s="12"/>
      <c r="S37" s="12"/>
      <c r="T37" s="12"/>
    </row>
    <row r="38" spans="1:20" s="4" customFormat="1" x14ac:dyDescent="0.35">
      <c r="A38" s="12"/>
      <c r="B38" s="13"/>
      <c r="C38" s="15"/>
      <c r="D38" s="16"/>
      <c r="E38" s="10"/>
      <c r="F38" s="10"/>
      <c r="G38" s="18"/>
      <c r="H38" s="13"/>
      <c r="I38" s="19"/>
      <c r="J38" s="19" t="str">
        <f>IF($A38="","",IF(G38&lt;=_xlfn.XLOOKUP(YEAR($C38),'[1]Australia - Weights'!$A:$A,'[1]Australia - Weights'!B:B),
G38/_xlfn.XLOOKUP(YEAR($C38),'[1]Australia - Weights'!$A:$A,'[1]Australia - Weights'!B:B),
_xlfn.XLOOKUP(YEAR($C38),'[1]Australia - Weights'!$A:$A,'[1]Australia - Weights'!B:B)/G38))</f>
        <v/>
      </c>
      <c r="K38" s="19" t="str">
        <f>IF($A38="","",IF(H38&lt;=_xlfn.XLOOKUP(YEAR($C38),'[1]Australia - Weights'!$A:$A,'[1]Australia - Weights'!C:C),
H38/_xlfn.XLOOKUP(YEAR($C38),'[1]Australia - Weights'!$A:$A,'[1]Australia - Weights'!C:C),
_xlfn.XLOOKUP(YEAR($C38),'[1]Australia - Weights'!$A:$A,'[1]Australia - Weights'!C:C)/H38))</f>
        <v/>
      </c>
      <c r="L38" s="19" t="str">
        <f>IF($A38="","",IF(I38&lt;=_xlfn.XLOOKUP(YEAR($C38),'[1]Australia - Weights'!$A:$A,'[1]Australia - Weights'!D:D),
I38/_xlfn.XLOOKUP(YEAR($C38),'[1]Australia - Weights'!$A:$A,'[1]Australia - Weights'!D:D),
_xlfn.XLOOKUP(YEAR($C38),'[1]Australia - Weights'!$A:$A,'[1]Australia - Weights'!D:D)/I38))</f>
        <v/>
      </c>
      <c r="M38" s="19" t="str">
        <f t="shared" si="2"/>
        <v/>
      </c>
      <c r="N38" s="19" t="str">
        <f>IF($A38="","",IF(G38&lt;=_xlfn.XLOOKUP(YEAR($C38),'[1]Australia - Weights'!$A:$A,'[1]Australia - Weights'!B:B),
LN(G38)/LN(_xlfn.XLOOKUP(YEAR($C38),'[1]Australia - Weights'!$A:$A,'[1]Australia - Weights'!B:B)),
LN(_xlfn.XLOOKUP(YEAR($C38),'[1]Australia - Weights'!$A:$A,'[1]Australia - Weights'!B:B))/LN(G38)))</f>
        <v/>
      </c>
      <c r="O38" s="19" t="str">
        <f>IF($A38="","",IF(H38&lt;=_xlfn.XLOOKUP(YEAR($C38),'[1]Australia - Weights'!$A:$A,'[1]Australia - Weights'!C:C),
LN(H38)/LN(_xlfn.XLOOKUP(YEAR($C38),'[1]Australia - Weights'!$A:$A,'[1]Australia - Weights'!C:C)),
LN(_xlfn.XLOOKUP(YEAR($C38),'[1]Australia - Weights'!$A:$A,'[1]Australia - Weights'!C:C))/LN(H38)))</f>
        <v/>
      </c>
      <c r="P38" s="19" t="str">
        <f>IF($A38="","",IF(I38&lt;=_xlfn.XLOOKUP(YEAR($C38),'[1]Australia - Weights'!$A:$A,'[1]Australia - Weights'!D:D),
LN(I38)/LN(_xlfn.XLOOKUP(YEAR($C38),'[1]Australia - Weights'!$A:$A,'[1]Australia - Weights'!D:D)),
LN(_xlfn.XLOOKUP(YEAR($C38),'[1]Australia - Weights'!$A:$A,'[1]Australia - Weights'!D:D))/LN(I38)))</f>
        <v/>
      </c>
      <c r="Q38" s="19" t="str">
        <f t="shared" si="3"/>
        <v/>
      </c>
      <c r="R38" s="12"/>
      <c r="S38" s="12"/>
      <c r="T38" s="12"/>
    </row>
    <row r="39" spans="1:20" s="4" customFormat="1" x14ac:dyDescent="0.35">
      <c r="A39" s="12"/>
      <c r="B39" s="13"/>
      <c r="C39" s="15"/>
      <c r="D39" s="16"/>
      <c r="E39" s="10"/>
      <c r="F39" s="10"/>
      <c r="G39" s="18"/>
      <c r="H39" s="13"/>
      <c r="I39" s="19"/>
      <c r="J39" s="19" t="str">
        <f>IF($A39="","",IF(G39&lt;=_xlfn.XLOOKUP(YEAR($C39),'[1]Australia - Weights'!$A:$A,'[1]Australia - Weights'!B:B),
G39/_xlfn.XLOOKUP(YEAR($C39),'[1]Australia - Weights'!$A:$A,'[1]Australia - Weights'!B:B),
_xlfn.XLOOKUP(YEAR($C39),'[1]Australia - Weights'!$A:$A,'[1]Australia - Weights'!B:B)/G39))</f>
        <v/>
      </c>
      <c r="K39" s="19" t="str">
        <f>IF($A39="","",IF(H39&lt;=_xlfn.XLOOKUP(YEAR($C39),'[1]Australia - Weights'!$A:$A,'[1]Australia - Weights'!C:C),
H39/_xlfn.XLOOKUP(YEAR($C39),'[1]Australia - Weights'!$A:$A,'[1]Australia - Weights'!C:C),
_xlfn.XLOOKUP(YEAR($C39),'[1]Australia - Weights'!$A:$A,'[1]Australia - Weights'!C:C)/H39))</f>
        <v/>
      </c>
      <c r="L39" s="19" t="str">
        <f>IF($A39="","",IF(I39&lt;=_xlfn.XLOOKUP(YEAR($C39),'[1]Australia - Weights'!$A:$A,'[1]Australia - Weights'!D:D),
I39/_xlfn.XLOOKUP(YEAR($C39),'[1]Australia - Weights'!$A:$A,'[1]Australia - Weights'!D:D),
_xlfn.XLOOKUP(YEAR($C39),'[1]Australia - Weights'!$A:$A,'[1]Australia - Weights'!D:D)/I39))</f>
        <v/>
      </c>
      <c r="M39" s="19" t="str">
        <f t="shared" si="2"/>
        <v/>
      </c>
      <c r="N39" s="19" t="str">
        <f>IF($A39="","",IF(G39&lt;=_xlfn.XLOOKUP(YEAR($C39),'[1]Australia - Weights'!$A:$A,'[1]Australia - Weights'!B:B),
LN(G39)/LN(_xlfn.XLOOKUP(YEAR($C39),'[1]Australia - Weights'!$A:$A,'[1]Australia - Weights'!B:B)),
LN(_xlfn.XLOOKUP(YEAR($C39),'[1]Australia - Weights'!$A:$A,'[1]Australia - Weights'!B:B))/LN(G39)))</f>
        <v/>
      </c>
      <c r="O39" s="19" t="str">
        <f>IF($A39="","",IF(H39&lt;=_xlfn.XLOOKUP(YEAR($C39),'[1]Australia - Weights'!$A:$A,'[1]Australia - Weights'!C:C),
LN(H39)/LN(_xlfn.XLOOKUP(YEAR($C39),'[1]Australia - Weights'!$A:$A,'[1]Australia - Weights'!C:C)),
LN(_xlfn.XLOOKUP(YEAR($C39),'[1]Australia - Weights'!$A:$A,'[1]Australia - Weights'!C:C))/LN(H39)))</f>
        <v/>
      </c>
      <c r="P39" s="19" t="str">
        <f>IF($A39="","",IF(I39&lt;=_xlfn.XLOOKUP(YEAR($C39),'[1]Australia - Weights'!$A:$A,'[1]Australia - Weights'!D:D),
LN(I39)/LN(_xlfn.XLOOKUP(YEAR($C39),'[1]Australia - Weights'!$A:$A,'[1]Australia - Weights'!D:D)),
LN(_xlfn.XLOOKUP(YEAR($C39),'[1]Australia - Weights'!$A:$A,'[1]Australia - Weights'!D:D))/LN(I39)))</f>
        <v/>
      </c>
      <c r="Q39" s="19" t="str">
        <f t="shared" si="3"/>
        <v/>
      </c>
      <c r="R39" s="12"/>
      <c r="S39" s="12"/>
      <c r="T39" s="12"/>
    </row>
    <row r="40" spans="1:20" s="4" customFormat="1" x14ac:dyDescent="0.35">
      <c r="A40" s="12"/>
      <c r="B40" s="13"/>
      <c r="C40" s="15"/>
      <c r="D40" s="16"/>
      <c r="E40" s="10"/>
      <c r="F40" s="10"/>
      <c r="G40" s="18"/>
      <c r="H40" s="13"/>
      <c r="I40" s="19"/>
      <c r="J40" s="19" t="str">
        <f>IF($A40="","",IF(G40&lt;=_xlfn.XLOOKUP(YEAR($C40),'[1]Australia - Weights'!$A:$A,'[1]Australia - Weights'!B:B),
G40/_xlfn.XLOOKUP(YEAR($C40),'[1]Australia - Weights'!$A:$A,'[1]Australia - Weights'!B:B),
_xlfn.XLOOKUP(YEAR($C40),'[1]Australia - Weights'!$A:$A,'[1]Australia - Weights'!B:B)/G40))</f>
        <v/>
      </c>
      <c r="K40" s="19" t="str">
        <f>IF($A40="","",IF(H40&lt;=_xlfn.XLOOKUP(YEAR($C40),'[1]Australia - Weights'!$A:$A,'[1]Australia - Weights'!C:C),
H40/_xlfn.XLOOKUP(YEAR($C40),'[1]Australia - Weights'!$A:$A,'[1]Australia - Weights'!C:C),
_xlfn.XLOOKUP(YEAR($C40),'[1]Australia - Weights'!$A:$A,'[1]Australia - Weights'!C:C)/H40))</f>
        <v/>
      </c>
      <c r="L40" s="19" t="str">
        <f>IF($A40="","",IF(I40&lt;=_xlfn.XLOOKUP(YEAR($C40),'[1]Australia - Weights'!$A:$A,'[1]Australia - Weights'!D:D),
I40/_xlfn.XLOOKUP(YEAR($C40),'[1]Australia - Weights'!$A:$A,'[1]Australia - Weights'!D:D),
_xlfn.XLOOKUP(YEAR($C40),'[1]Australia - Weights'!$A:$A,'[1]Australia - Weights'!D:D)/I40))</f>
        <v/>
      </c>
      <c r="M40" s="19" t="str">
        <f t="shared" si="2"/>
        <v/>
      </c>
      <c r="N40" s="19" t="str">
        <f>IF($A40="","",IF(G40&lt;=_xlfn.XLOOKUP(YEAR($C40),'[1]Australia - Weights'!$A:$A,'[1]Australia - Weights'!B:B),
LN(G40)/LN(_xlfn.XLOOKUP(YEAR($C40),'[1]Australia - Weights'!$A:$A,'[1]Australia - Weights'!B:B)),
LN(_xlfn.XLOOKUP(YEAR($C40),'[1]Australia - Weights'!$A:$A,'[1]Australia - Weights'!B:B))/LN(G40)))</f>
        <v/>
      </c>
      <c r="O40" s="19" t="str">
        <f>IF($A40="","",IF(H40&lt;=_xlfn.XLOOKUP(YEAR($C40),'[1]Australia - Weights'!$A:$A,'[1]Australia - Weights'!C:C),
LN(H40)/LN(_xlfn.XLOOKUP(YEAR($C40),'[1]Australia - Weights'!$A:$A,'[1]Australia - Weights'!C:C)),
LN(_xlfn.XLOOKUP(YEAR($C40),'[1]Australia - Weights'!$A:$A,'[1]Australia - Weights'!C:C))/LN(H40)))</f>
        <v/>
      </c>
      <c r="P40" s="19" t="str">
        <f>IF($A40="","",IF(I40&lt;=_xlfn.XLOOKUP(YEAR($C40),'[1]Australia - Weights'!$A:$A,'[1]Australia - Weights'!D:D),
LN(I40)/LN(_xlfn.XLOOKUP(YEAR($C40),'[1]Australia - Weights'!$A:$A,'[1]Australia - Weights'!D:D)),
LN(_xlfn.XLOOKUP(YEAR($C40),'[1]Australia - Weights'!$A:$A,'[1]Australia - Weights'!D:D))/LN(I40)))</f>
        <v/>
      </c>
      <c r="Q40" s="19" t="str">
        <f t="shared" si="3"/>
        <v/>
      </c>
      <c r="R40" s="12"/>
      <c r="S40" s="12"/>
      <c r="T40" s="12"/>
    </row>
    <row r="41" spans="1:20" s="4" customFormat="1" x14ac:dyDescent="0.35">
      <c r="A41" s="12"/>
      <c r="B41" s="13"/>
      <c r="C41" s="15"/>
      <c r="D41" s="16"/>
      <c r="E41" s="10"/>
      <c r="F41" s="10"/>
      <c r="G41" s="18"/>
      <c r="H41" s="13"/>
      <c r="I41" s="19"/>
      <c r="J41" s="19" t="str">
        <f>IF($A41="","",IF(G41&lt;=_xlfn.XLOOKUP(YEAR($C41),'[1]Australia - Weights'!$A:$A,'[1]Australia - Weights'!B:B),
G41/_xlfn.XLOOKUP(YEAR($C41),'[1]Australia - Weights'!$A:$A,'[1]Australia - Weights'!B:B),
_xlfn.XLOOKUP(YEAR($C41),'[1]Australia - Weights'!$A:$A,'[1]Australia - Weights'!B:B)/G41))</f>
        <v/>
      </c>
      <c r="K41" s="19" t="str">
        <f>IF($A41="","",IF(H41&lt;=_xlfn.XLOOKUP(YEAR($C41),'[1]Australia - Weights'!$A:$A,'[1]Australia - Weights'!C:C),
H41/_xlfn.XLOOKUP(YEAR($C41),'[1]Australia - Weights'!$A:$A,'[1]Australia - Weights'!C:C),
_xlfn.XLOOKUP(YEAR($C41),'[1]Australia - Weights'!$A:$A,'[1]Australia - Weights'!C:C)/H41))</f>
        <v/>
      </c>
      <c r="L41" s="19" t="str">
        <f>IF($A41="","",IF(I41&lt;=_xlfn.XLOOKUP(YEAR($C41),'[1]Australia - Weights'!$A:$A,'[1]Australia - Weights'!D:D),
I41/_xlfn.XLOOKUP(YEAR($C41),'[1]Australia - Weights'!$A:$A,'[1]Australia - Weights'!D:D),
_xlfn.XLOOKUP(YEAR($C41),'[1]Australia - Weights'!$A:$A,'[1]Australia - Weights'!D:D)/I41))</f>
        <v/>
      </c>
      <c r="M41" s="19" t="str">
        <f t="shared" si="2"/>
        <v/>
      </c>
      <c r="N41" s="19" t="str">
        <f>IF($A41="","",IF(G41&lt;=_xlfn.XLOOKUP(YEAR($C41),'[1]Australia - Weights'!$A:$A,'[1]Australia - Weights'!B:B),
LN(G41)/LN(_xlfn.XLOOKUP(YEAR($C41),'[1]Australia - Weights'!$A:$A,'[1]Australia - Weights'!B:B)),
LN(_xlfn.XLOOKUP(YEAR($C41),'[1]Australia - Weights'!$A:$A,'[1]Australia - Weights'!B:B))/LN(G41)))</f>
        <v/>
      </c>
      <c r="O41" s="19" t="str">
        <f>IF($A41="","",IF(H41&lt;=_xlfn.XLOOKUP(YEAR($C41),'[1]Australia - Weights'!$A:$A,'[1]Australia - Weights'!C:C),
LN(H41)/LN(_xlfn.XLOOKUP(YEAR($C41),'[1]Australia - Weights'!$A:$A,'[1]Australia - Weights'!C:C)),
LN(_xlfn.XLOOKUP(YEAR($C41),'[1]Australia - Weights'!$A:$A,'[1]Australia - Weights'!C:C))/LN(H41)))</f>
        <v/>
      </c>
      <c r="P41" s="19" t="str">
        <f>IF($A41="","",IF(I41&lt;=_xlfn.XLOOKUP(YEAR($C41),'[1]Australia - Weights'!$A:$A,'[1]Australia - Weights'!D:D),
LN(I41)/LN(_xlfn.XLOOKUP(YEAR($C41),'[1]Australia - Weights'!$A:$A,'[1]Australia - Weights'!D:D)),
LN(_xlfn.XLOOKUP(YEAR($C41),'[1]Australia - Weights'!$A:$A,'[1]Australia - Weights'!D:D))/LN(I41)))</f>
        <v/>
      </c>
      <c r="Q41" s="19" t="str">
        <f t="shared" si="3"/>
        <v/>
      </c>
      <c r="R41" s="12"/>
      <c r="S41" s="12"/>
      <c r="T41" s="12"/>
    </row>
    <row r="42" spans="1:20" s="4" customFormat="1" x14ac:dyDescent="0.35">
      <c r="A42" s="12"/>
      <c r="B42" s="13"/>
      <c r="C42" s="15"/>
      <c r="D42" s="16"/>
      <c r="E42" s="10"/>
      <c r="F42" s="10"/>
      <c r="G42" s="18"/>
      <c r="H42" s="13"/>
      <c r="I42" s="19"/>
      <c r="J42" s="19" t="str">
        <f>IF($A42="","",IF(G42&lt;=_xlfn.XLOOKUP(YEAR($C42),'[1]Australia - Weights'!$A:$A,'[1]Australia - Weights'!B:B),
G42/_xlfn.XLOOKUP(YEAR($C42),'[1]Australia - Weights'!$A:$A,'[1]Australia - Weights'!B:B),
_xlfn.XLOOKUP(YEAR($C42),'[1]Australia - Weights'!$A:$A,'[1]Australia - Weights'!B:B)/G42))</f>
        <v/>
      </c>
      <c r="K42" s="19" t="str">
        <f>IF($A42="","",IF(H42&lt;=_xlfn.XLOOKUP(YEAR($C42),'[1]Australia - Weights'!$A:$A,'[1]Australia - Weights'!C:C),
H42/_xlfn.XLOOKUP(YEAR($C42),'[1]Australia - Weights'!$A:$A,'[1]Australia - Weights'!C:C),
_xlfn.XLOOKUP(YEAR($C42),'[1]Australia - Weights'!$A:$A,'[1]Australia - Weights'!C:C)/H42))</f>
        <v/>
      </c>
      <c r="L42" s="19" t="str">
        <f>IF($A42="","",IF(I42&lt;=_xlfn.XLOOKUP(YEAR($C42),'[1]Australia - Weights'!$A:$A,'[1]Australia - Weights'!D:D),
I42/_xlfn.XLOOKUP(YEAR($C42),'[1]Australia - Weights'!$A:$A,'[1]Australia - Weights'!D:D),
_xlfn.XLOOKUP(YEAR($C42),'[1]Australia - Weights'!$A:$A,'[1]Australia - Weights'!D:D)/I42))</f>
        <v/>
      </c>
      <c r="M42" s="19" t="str">
        <f t="shared" si="2"/>
        <v/>
      </c>
      <c r="N42" s="19" t="str">
        <f>IF($A42="","",IF(G42&lt;=_xlfn.XLOOKUP(YEAR($C42),'[1]Australia - Weights'!$A:$A,'[1]Australia - Weights'!B:B),
LN(G42)/LN(_xlfn.XLOOKUP(YEAR($C42),'[1]Australia - Weights'!$A:$A,'[1]Australia - Weights'!B:B)),
LN(_xlfn.XLOOKUP(YEAR($C42),'[1]Australia - Weights'!$A:$A,'[1]Australia - Weights'!B:B))/LN(G42)))</f>
        <v/>
      </c>
      <c r="O42" s="19" t="str">
        <f>IF($A42="","",IF(H42&lt;=_xlfn.XLOOKUP(YEAR($C42),'[1]Australia - Weights'!$A:$A,'[1]Australia - Weights'!C:C),
LN(H42)/LN(_xlfn.XLOOKUP(YEAR($C42),'[1]Australia - Weights'!$A:$A,'[1]Australia - Weights'!C:C)),
LN(_xlfn.XLOOKUP(YEAR($C42),'[1]Australia - Weights'!$A:$A,'[1]Australia - Weights'!C:C))/LN(H42)))</f>
        <v/>
      </c>
      <c r="P42" s="19" t="str">
        <f>IF($A42="","",IF(I42&lt;=_xlfn.XLOOKUP(YEAR($C42),'[1]Australia - Weights'!$A:$A,'[1]Australia - Weights'!D:D),
LN(I42)/LN(_xlfn.XLOOKUP(YEAR($C42),'[1]Australia - Weights'!$A:$A,'[1]Australia - Weights'!D:D)),
LN(_xlfn.XLOOKUP(YEAR($C42),'[1]Australia - Weights'!$A:$A,'[1]Australia - Weights'!D:D))/LN(I42)))</f>
        <v/>
      </c>
      <c r="Q42" s="19" t="str">
        <f t="shared" si="3"/>
        <v/>
      </c>
      <c r="R42" s="12"/>
      <c r="S42" s="12"/>
      <c r="T42" s="12"/>
    </row>
    <row r="43" spans="1:20" s="4" customFormat="1" x14ac:dyDescent="0.35">
      <c r="A43" s="12"/>
      <c r="B43" s="13"/>
      <c r="C43" s="15"/>
      <c r="D43" s="16"/>
      <c r="E43" s="10"/>
      <c r="F43" s="10"/>
      <c r="G43" s="18"/>
      <c r="H43" s="13"/>
      <c r="I43" s="19"/>
      <c r="J43" s="19" t="str">
        <f>IF($A43="","",IF(G43&lt;=_xlfn.XLOOKUP(YEAR($C43),'[1]Australia - Weights'!$A:$A,'[1]Australia - Weights'!B:B),
G43/_xlfn.XLOOKUP(YEAR($C43),'[1]Australia - Weights'!$A:$A,'[1]Australia - Weights'!B:B),
_xlfn.XLOOKUP(YEAR($C43),'[1]Australia - Weights'!$A:$A,'[1]Australia - Weights'!B:B)/G43))</f>
        <v/>
      </c>
      <c r="K43" s="19" t="str">
        <f>IF($A43="","",IF(H43&lt;=_xlfn.XLOOKUP(YEAR($C43),'[1]Australia - Weights'!$A:$A,'[1]Australia - Weights'!C:C),
H43/_xlfn.XLOOKUP(YEAR($C43),'[1]Australia - Weights'!$A:$A,'[1]Australia - Weights'!C:C),
_xlfn.XLOOKUP(YEAR($C43),'[1]Australia - Weights'!$A:$A,'[1]Australia - Weights'!C:C)/H43))</f>
        <v/>
      </c>
      <c r="L43" s="19" t="str">
        <f>IF($A43="","",IF(I43&lt;=_xlfn.XLOOKUP(YEAR($C43),'[1]Australia - Weights'!$A:$A,'[1]Australia - Weights'!D:D),
I43/_xlfn.XLOOKUP(YEAR($C43),'[1]Australia - Weights'!$A:$A,'[1]Australia - Weights'!D:D),
_xlfn.XLOOKUP(YEAR($C43),'[1]Australia - Weights'!$A:$A,'[1]Australia - Weights'!D:D)/I43))</f>
        <v/>
      </c>
      <c r="M43" s="19" t="str">
        <f t="shared" si="2"/>
        <v/>
      </c>
      <c r="N43" s="19" t="str">
        <f>IF($A43="","",IF(G43&lt;=_xlfn.XLOOKUP(YEAR($C43),'[1]Australia - Weights'!$A:$A,'[1]Australia - Weights'!B:B),
LN(G43)/LN(_xlfn.XLOOKUP(YEAR($C43),'[1]Australia - Weights'!$A:$A,'[1]Australia - Weights'!B:B)),
LN(_xlfn.XLOOKUP(YEAR($C43),'[1]Australia - Weights'!$A:$A,'[1]Australia - Weights'!B:B))/LN(G43)))</f>
        <v/>
      </c>
      <c r="O43" s="19" t="str">
        <f>IF($A43="","",IF(H43&lt;=_xlfn.XLOOKUP(YEAR($C43),'[1]Australia - Weights'!$A:$A,'[1]Australia - Weights'!C:C),
LN(H43)/LN(_xlfn.XLOOKUP(YEAR($C43),'[1]Australia - Weights'!$A:$A,'[1]Australia - Weights'!C:C)),
LN(_xlfn.XLOOKUP(YEAR($C43),'[1]Australia - Weights'!$A:$A,'[1]Australia - Weights'!C:C))/LN(H43)))</f>
        <v/>
      </c>
      <c r="P43" s="19" t="str">
        <f>IF($A43="","",IF(I43&lt;=_xlfn.XLOOKUP(YEAR($C43),'[1]Australia - Weights'!$A:$A,'[1]Australia - Weights'!D:D),
LN(I43)/LN(_xlfn.XLOOKUP(YEAR($C43),'[1]Australia - Weights'!$A:$A,'[1]Australia - Weights'!D:D)),
LN(_xlfn.XLOOKUP(YEAR($C43),'[1]Australia - Weights'!$A:$A,'[1]Australia - Weights'!D:D))/LN(I43)))</f>
        <v/>
      </c>
      <c r="Q43" s="19" t="str">
        <f t="shared" si="3"/>
        <v/>
      </c>
      <c r="R43" s="12"/>
      <c r="S43" s="12"/>
      <c r="T43" s="12"/>
    </row>
    <row r="44" spans="1:20" s="4" customFormat="1" x14ac:dyDescent="0.35">
      <c r="A44" s="12"/>
      <c r="B44" s="13"/>
      <c r="C44" s="15"/>
      <c r="D44" s="16"/>
      <c r="E44" s="10"/>
      <c r="F44" s="10"/>
      <c r="G44" s="18"/>
      <c r="H44" s="13"/>
      <c r="I44" s="19"/>
      <c r="J44" s="19" t="str">
        <f>IF($A44="","",IF(G44&lt;=_xlfn.XLOOKUP(YEAR($C44),'[1]Australia - Weights'!$A:$A,'[1]Australia - Weights'!B:B),
G44/_xlfn.XLOOKUP(YEAR($C44),'[1]Australia - Weights'!$A:$A,'[1]Australia - Weights'!B:B),
_xlfn.XLOOKUP(YEAR($C44),'[1]Australia - Weights'!$A:$A,'[1]Australia - Weights'!B:B)/G44))</f>
        <v/>
      </c>
      <c r="K44" s="19" t="str">
        <f>IF($A44="","",IF(H44&lt;=_xlfn.XLOOKUP(YEAR($C44),'[1]Australia - Weights'!$A:$A,'[1]Australia - Weights'!C:C),
H44/_xlfn.XLOOKUP(YEAR($C44),'[1]Australia - Weights'!$A:$A,'[1]Australia - Weights'!C:C),
_xlfn.XLOOKUP(YEAR($C44),'[1]Australia - Weights'!$A:$A,'[1]Australia - Weights'!C:C)/H44))</f>
        <v/>
      </c>
      <c r="L44" s="19" t="str">
        <f>IF($A44="","",IF(I44&lt;=_xlfn.XLOOKUP(YEAR($C44),'[1]Australia - Weights'!$A:$A,'[1]Australia - Weights'!D:D),
I44/_xlfn.XLOOKUP(YEAR($C44),'[1]Australia - Weights'!$A:$A,'[1]Australia - Weights'!D:D),
_xlfn.XLOOKUP(YEAR($C44),'[1]Australia - Weights'!$A:$A,'[1]Australia - Weights'!D:D)/I44))</f>
        <v/>
      </c>
      <c r="M44" s="19" t="str">
        <f t="shared" si="2"/>
        <v/>
      </c>
      <c r="N44" s="19" t="str">
        <f>IF($A44="","",IF(G44&lt;=_xlfn.XLOOKUP(YEAR($C44),'[1]Australia - Weights'!$A:$A,'[1]Australia - Weights'!B:B),
LN(G44)/LN(_xlfn.XLOOKUP(YEAR($C44),'[1]Australia - Weights'!$A:$A,'[1]Australia - Weights'!B:B)),
LN(_xlfn.XLOOKUP(YEAR($C44),'[1]Australia - Weights'!$A:$A,'[1]Australia - Weights'!B:B))/LN(G44)))</f>
        <v/>
      </c>
      <c r="O44" s="19" t="str">
        <f>IF($A44="","",IF(H44&lt;=_xlfn.XLOOKUP(YEAR($C44),'[1]Australia - Weights'!$A:$A,'[1]Australia - Weights'!C:C),
LN(H44)/LN(_xlfn.XLOOKUP(YEAR($C44),'[1]Australia - Weights'!$A:$A,'[1]Australia - Weights'!C:C)),
LN(_xlfn.XLOOKUP(YEAR($C44),'[1]Australia - Weights'!$A:$A,'[1]Australia - Weights'!C:C))/LN(H44)))</f>
        <v/>
      </c>
      <c r="P44" s="19" t="str">
        <f>IF($A44="","",IF(I44&lt;=_xlfn.XLOOKUP(YEAR($C44),'[1]Australia - Weights'!$A:$A,'[1]Australia - Weights'!D:D),
LN(I44)/LN(_xlfn.XLOOKUP(YEAR($C44),'[1]Australia - Weights'!$A:$A,'[1]Australia - Weights'!D:D)),
LN(_xlfn.XLOOKUP(YEAR($C44),'[1]Australia - Weights'!$A:$A,'[1]Australia - Weights'!D:D))/LN(I44)))</f>
        <v/>
      </c>
      <c r="Q44" s="19" t="str">
        <f t="shared" si="3"/>
        <v/>
      </c>
      <c r="R44" s="12"/>
      <c r="S44" s="12"/>
      <c r="T44" s="12"/>
    </row>
    <row r="45" spans="1:20" s="4" customFormat="1" x14ac:dyDescent="0.35">
      <c r="A45" s="12"/>
      <c r="B45" s="13"/>
      <c r="C45" s="15"/>
      <c r="D45" s="16"/>
      <c r="E45" s="10"/>
      <c r="F45" s="10"/>
      <c r="G45" s="18"/>
      <c r="H45" s="13"/>
      <c r="I45" s="19"/>
      <c r="J45" s="19" t="str">
        <f>IF($A45="","",IF(G45&lt;=_xlfn.XLOOKUP(YEAR($C45),'[1]Australia - Weights'!$A:$A,'[1]Australia - Weights'!B:B),
G45/_xlfn.XLOOKUP(YEAR($C45),'[1]Australia - Weights'!$A:$A,'[1]Australia - Weights'!B:B),
_xlfn.XLOOKUP(YEAR($C45),'[1]Australia - Weights'!$A:$A,'[1]Australia - Weights'!B:B)/G45))</f>
        <v/>
      </c>
      <c r="K45" s="19" t="str">
        <f>IF($A45="","",IF(H45&lt;=_xlfn.XLOOKUP(YEAR($C45),'[1]Australia - Weights'!$A:$A,'[1]Australia - Weights'!C:C),
H45/_xlfn.XLOOKUP(YEAR($C45),'[1]Australia - Weights'!$A:$A,'[1]Australia - Weights'!C:C),
_xlfn.XLOOKUP(YEAR($C45),'[1]Australia - Weights'!$A:$A,'[1]Australia - Weights'!C:C)/H45))</f>
        <v/>
      </c>
      <c r="L45" s="19" t="str">
        <f>IF($A45="","",IF(I45&lt;=_xlfn.XLOOKUP(YEAR($C45),'[1]Australia - Weights'!$A:$A,'[1]Australia - Weights'!D:D),
I45/_xlfn.XLOOKUP(YEAR($C45),'[1]Australia - Weights'!$A:$A,'[1]Australia - Weights'!D:D),
_xlfn.XLOOKUP(YEAR($C45),'[1]Australia - Weights'!$A:$A,'[1]Australia - Weights'!D:D)/I45))</f>
        <v/>
      </c>
      <c r="M45" s="19" t="str">
        <f t="shared" si="2"/>
        <v/>
      </c>
      <c r="N45" s="19" t="str">
        <f>IF($A45="","",IF(G45&lt;=_xlfn.XLOOKUP(YEAR($C45),'[1]Australia - Weights'!$A:$A,'[1]Australia - Weights'!B:B),
LN(G45)/LN(_xlfn.XLOOKUP(YEAR($C45),'[1]Australia - Weights'!$A:$A,'[1]Australia - Weights'!B:B)),
LN(_xlfn.XLOOKUP(YEAR($C45),'[1]Australia - Weights'!$A:$A,'[1]Australia - Weights'!B:B))/LN(G45)))</f>
        <v/>
      </c>
      <c r="O45" s="19" t="str">
        <f>IF($A45="","",IF(H45&lt;=_xlfn.XLOOKUP(YEAR($C45),'[1]Australia - Weights'!$A:$A,'[1]Australia - Weights'!C:C),
LN(H45)/LN(_xlfn.XLOOKUP(YEAR($C45),'[1]Australia - Weights'!$A:$A,'[1]Australia - Weights'!C:C)),
LN(_xlfn.XLOOKUP(YEAR($C45),'[1]Australia - Weights'!$A:$A,'[1]Australia - Weights'!C:C))/LN(H45)))</f>
        <v/>
      </c>
      <c r="P45" s="19" t="str">
        <f>IF($A45="","",IF(I45&lt;=_xlfn.XLOOKUP(YEAR($C45),'[1]Australia - Weights'!$A:$A,'[1]Australia - Weights'!D:D),
LN(I45)/LN(_xlfn.XLOOKUP(YEAR($C45),'[1]Australia - Weights'!$A:$A,'[1]Australia - Weights'!D:D)),
LN(_xlfn.XLOOKUP(YEAR($C45),'[1]Australia - Weights'!$A:$A,'[1]Australia - Weights'!D:D))/LN(I45)))</f>
        <v/>
      </c>
      <c r="Q45" s="19" t="str">
        <f t="shared" si="3"/>
        <v/>
      </c>
      <c r="R45" s="12"/>
      <c r="S45" s="12"/>
      <c r="T45" s="12"/>
    </row>
    <row r="46" spans="1:20" s="4" customFormat="1" x14ac:dyDescent="0.35">
      <c r="A46" s="12"/>
      <c r="B46" s="13"/>
      <c r="C46" s="15"/>
      <c r="D46" s="16"/>
      <c r="E46" s="10"/>
      <c r="F46" s="10"/>
      <c r="G46" s="18"/>
      <c r="H46" s="13"/>
      <c r="I46" s="19"/>
      <c r="J46" s="19" t="str">
        <f>IF($A46="","",IF(G46&lt;=_xlfn.XLOOKUP(YEAR($C46),'[1]Australia - Weights'!$A:$A,'[1]Australia - Weights'!B:B),
G46/_xlfn.XLOOKUP(YEAR($C46),'[1]Australia - Weights'!$A:$A,'[1]Australia - Weights'!B:B),
_xlfn.XLOOKUP(YEAR($C46),'[1]Australia - Weights'!$A:$A,'[1]Australia - Weights'!B:B)/G46))</f>
        <v/>
      </c>
      <c r="K46" s="19" t="str">
        <f>IF($A46="","",IF(H46&lt;=_xlfn.XLOOKUP(YEAR($C46),'[1]Australia - Weights'!$A:$A,'[1]Australia - Weights'!C:C),
H46/_xlfn.XLOOKUP(YEAR($C46),'[1]Australia - Weights'!$A:$A,'[1]Australia - Weights'!C:C),
_xlfn.XLOOKUP(YEAR($C46),'[1]Australia - Weights'!$A:$A,'[1]Australia - Weights'!C:C)/H46))</f>
        <v/>
      </c>
      <c r="L46" s="19" t="str">
        <f>IF($A46="","",IF(I46&lt;=_xlfn.XLOOKUP(YEAR($C46),'[1]Australia - Weights'!$A:$A,'[1]Australia - Weights'!D:D),
I46/_xlfn.XLOOKUP(YEAR($C46),'[1]Australia - Weights'!$A:$A,'[1]Australia - Weights'!D:D),
_xlfn.XLOOKUP(YEAR($C46),'[1]Australia - Weights'!$A:$A,'[1]Australia - Weights'!D:D)/I46))</f>
        <v/>
      </c>
      <c r="M46" s="19" t="str">
        <f t="shared" si="2"/>
        <v/>
      </c>
      <c r="N46" s="19" t="str">
        <f>IF($A46="","",IF(G46&lt;=_xlfn.XLOOKUP(YEAR($C46),'[1]Australia - Weights'!$A:$A,'[1]Australia - Weights'!B:B),
LN(G46)/LN(_xlfn.XLOOKUP(YEAR($C46),'[1]Australia - Weights'!$A:$A,'[1]Australia - Weights'!B:B)),
LN(_xlfn.XLOOKUP(YEAR($C46),'[1]Australia - Weights'!$A:$A,'[1]Australia - Weights'!B:B))/LN(G46)))</f>
        <v/>
      </c>
      <c r="O46" s="19" t="str">
        <f>IF($A46="","",IF(H46&lt;=_xlfn.XLOOKUP(YEAR($C46),'[1]Australia - Weights'!$A:$A,'[1]Australia - Weights'!C:C),
LN(H46)/LN(_xlfn.XLOOKUP(YEAR($C46),'[1]Australia - Weights'!$A:$A,'[1]Australia - Weights'!C:C)),
LN(_xlfn.XLOOKUP(YEAR($C46),'[1]Australia - Weights'!$A:$A,'[1]Australia - Weights'!C:C))/LN(H46)))</f>
        <v/>
      </c>
      <c r="P46" s="19" t="str">
        <f>IF($A46="","",IF(I46&lt;=_xlfn.XLOOKUP(YEAR($C46),'[1]Australia - Weights'!$A:$A,'[1]Australia - Weights'!D:D),
LN(I46)/LN(_xlfn.XLOOKUP(YEAR($C46),'[1]Australia - Weights'!$A:$A,'[1]Australia - Weights'!D:D)),
LN(_xlfn.XLOOKUP(YEAR($C46),'[1]Australia - Weights'!$A:$A,'[1]Australia - Weights'!D:D))/LN(I46)))</f>
        <v/>
      </c>
      <c r="Q46" s="19" t="str">
        <f t="shared" si="3"/>
        <v/>
      </c>
      <c r="R46" s="12"/>
      <c r="S46" s="12"/>
      <c r="T46" s="12"/>
    </row>
    <row r="47" spans="1:20" s="4" customFormat="1" x14ac:dyDescent="0.35">
      <c r="A47" s="12"/>
      <c r="B47" s="13"/>
      <c r="C47" s="15"/>
      <c r="D47" s="16"/>
      <c r="E47" s="10"/>
      <c r="F47" s="10"/>
      <c r="G47" s="18"/>
      <c r="H47" s="13"/>
      <c r="I47" s="19"/>
      <c r="J47" s="19" t="str">
        <f>IF($A47="","",IF(G47&lt;=_xlfn.XLOOKUP(YEAR($C47),'[1]Australia - Weights'!$A:$A,'[1]Australia - Weights'!B:B),
G47/_xlfn.XLOOKUP(YEAR($C47),'[1]Australia - Weights'!$A:$A,'[1]Australia - Weights'!B:B),
_xlfn.XLOOKUP(YEAR($C47),'[1]Australia - Weights'!$A:$A,'[1]Australia - Weights'!B:B)/G47))</f>
        <v/>
      </c>
      <c r="K47" s="19" t="str">
        <f>IF($A47="","",IF(H47&lt;=_xlfn.XLOOKUP(YEAR($C47),'[1]Australia - Weights'!$A:$A,'[1]Australia - Weights'!C:C),
H47/_xlfn.XLOOKUP(YEAR($C47),'[1]Australia - Weights'!$A:$A,'[1]Australia - Weights'!C:C),
_xlfn.XLOOKUP(YEAR($C47),'[1]Australia - Weights'!$A:$A,'[1]Australia - Weights'!C:C)/H47))</f>
        <v/>
      </c>
      <c r="L47" s="19" t="str">
        <f>IF($A47="","",IF(I47&lt;=_xlfn.XLOOKUP(YEAR($C47),'[1]Australia - Weights'!$A:$A,'[1]Australia - Weights'!D:D),
I47/_xlfn.XLOOKUP(YEAR($C47),'[1]Australia - Weights'!$A:$A,'[1]Australia - Weights'!D:D),
_xlfn.XLOOKUP(YEAR($C47),'[1]Australia - Weights'!$A:$A,'[1]Australia - Weights'!D:D)/I47))</f>
        <v/>
      </c>
      <c r="M47" s="19" t="str">
        <f t="shared" si="2"/>
        <v/>
      </c>
      <c r="N47" s="19" t="str">
        <f>IF($A47="","",IF(G47&lt;=_xlfn.XLOOKUP(YEAR($C47),'[1]Australia - Weights'!$A:$A,'[1]Australia - Weights'!B:B),
LN(G47)/LN(_xlfn.XLOOKUP(YEAR($C47),'[1]Australia - Weights'!$A:$A,'[1]Australia - Weights'!B:B)),
LN(_xlfn.XLOOKUP(YEAR($C47),'[1]Australia - Weights'!$A:$A,'[1]Australia - Weights'!B:B))/LN(G47)))</f>
        <v/>
      </c>
      <c r="O47" s="19" t="str">
        <f>IF($A47="","",IF(H47&lt;=_xlfn.XLOOKUP(YEAR($C47),'[1]Australia - Weights'!$A:$A,'[1]Australia - Weights'!C:C),
LN(H47)/LN(_xlfn.XLOOKUP(YEAR($C47),'[1]Australia - Weights'!$A:$A,'[1]Australia - Weights'!C:C)),
LN(_xlfn.XLOOKUP(YEAR($C47),'[1]Australia - Weights'!$A:$A,'[1]Australia - Weights'!C:C))/LN(H47)))</f>
        <v/>
      </c>
      <c r="P47" s="19" t="str">
        <f>IF($A47="","",IF(I47&lt;=_xlfn.XLOOKUP(YEAR($C47),'[1]Australia - Weights'!$A:$A,'[1]Australia - Weights'!D:D),
LN(I47)/LN(_xlfn.XLOOKUP(YEAR($C47),'[1]Australia - Weights'!$A:$A,'[1]Australia - Weights'!D:D)),
LN(_xlfn.XLOOKUP(YEAR($C47),'[1]Australia - Weights'!$A:$A,'[1]Australia - Weights'!D:D))/LN(I47)))</f>
        <v/>
      </c>
      <c r="Q47" s="19" t="str">
        <f t="shared" si="3"/>
        <v/>
      </c>
      <c r="R47" s="12"/>
      <c r="S47" s="12"/>
      <c r="T47" s="12"/>
    </row>
    <row r="48" spans="1:20" s="4" customFormat="1" x14ac:dyDescent="0.35">
      <c r="A48" s="12"/>
      <c r="B48" s="13"/>
      <c r="C48" s="15"/>
      <c r="D48" s="16"/>
      <c r="E48" s="10"/>
      <c r="F48" s="10"/>
      <c r="G48" s="18"/>
      <c r="H48" s="13"/>
      <c r="I48" s="19"/>
      <c r="J48" s="19" t="str">
        <f>IF($A48="","",IF(G48&lt;=_xlfn.XLOOKUP(YEAR($C48),'[1]Australia - Weights'!$A:$A,'[1]Australia - Weights'!B:B),
G48/_xlfn.XLOOKUP(YEAR($C48),'[1]Australia - Weights'!$A:$A,'[1]Australia - Weights'!B:B),
_xlfn.XLOOKUP(YEAR($C48),'[1]Australia - Weights'!$A:$A,'[1]Australia - Weights'!B:B)/G48))</f>
        <v/>
      </c>
      <c r="K48" s="19" t="str">
        <f>IF($A48="","",IF(H48&lt;=_xlfn.XLOOKUP(YEAR($C48),'[1]Australia - Weights'!$A:$A,'[1]Australia - Weights'!C:C),
H48/_xlfn.XLOOKUP(YEAR($C48),'[1]Australia - Weights'!$A:$A,'[1]Australia - Weights'!C:C),
_xlfn.XLOOKUP(YEAR($C48),'[1]Australia - Weights'!$A:$A,'[1]Australia - Weights'!C:C)/H48))</f>
        <v/>
      </c>
      <c r="L48" s="19" t="str">
        <f>IF($A48="","",IF(I48&lt;=_xlfn.XLOOKUP(YEAR($C48),'[1]Australia - Weights'!$A:$A,'[1]Australia - Weights'!D:D),
I48/_xlfn.XLOOKUP(YEAR($C48),'[1]Australia - Weights'!$A:$A,'[1]Australia - Weights'!D:D),
_xlfn.XLOOKUP(YEAR($C48),'[1]Australia - Weights'!$A:$A,'[1]Australia - Weights'!D:D)/I48))</f>
        <v/>
      </c>
      <c r="M48" s="19" t="str">
        <f t="shared" si="2"/>
        <v/>
      </c>
      <c r="N48" s="19" t="str">
        <f>IF($A48="","",IF(G48&lt;=_xlfn.XLOOKUP(YEAR($C48),'[1]Australia - Weights'!$A:$A,'[1]Australia - Weights'!B:B),
LN(G48)/LN(_xlfn.XLOOKUP(YEAR($C48),'[1]Australia - Weights'!$A:$A,'[1]Australia - Weights'!B:B)),
LN(_xlfn.XLOOKUP(YEAR($C48),'[1]Australia - Weights'!$A:$A,'[1]Australia - Weights'!B:B))/LN(G48)))</f>
        <v/>
      </c>
      <c r="O48" s="19" t="str">
        <f>IF($A48="","",IF(H48&lt;=_xlfn.XLOOKUP(YEAR($C48),'[1]Australia - Weights'!$A:$A,'[1]Australia - Weights'!C:C),
LN(H48)/LN(_xlfn.XLOOKUP(YEAR($C48),'[1]Australia - Weights'!$A:$A,'[1]Australia - Weights'!C:C)),
LN(_xlfn.XLOOKUP(YEAR($C48),'[1]Australia - Weights'!$A:$A,'[1]Australia - Weights'!C:C))/LN(H48)))</f>
        <v/>
      </c>
      <c r="P48" s="19" t="str">
        <f>IF($A48="","",IF(I48&lt;=_xlfn.XLOOKUP(YEAR($C48),'[1]Australia - Weights'!$A:$A,'[1]Australia - Weights'!D:D),
LN(I48)/LN(_xlfn.XLOOKUP(YEAR($C48),'[1]Australia - Weights'!$A:$A,'[1]Australia - Weights'!D:D)),
LN(_xlfn.XLOOKUP(YEAR($C48),'[1]Australia - Weights'!$A:$A,'[1]Australia - Weights'!D:D))/LN(I48)))</f>
        <v/>
      </c>
      <c r="Q48" s="19" t="str">
        <f t="shared" si="3"/>
        <v/>
      </c>
      <c r="R48" s="12"/>
      <c r="S48" s="12"/>
      <c r="T48" s="12"/>
    </row>
    <row r="49" spans="1:20" s="4" customFormat="1" x14ac:dyDescent="0.35">
      <c r="A49" s="12"/>
      <c r="B49" s="13"/>
      <c r="C49" s="15"/>
      <c r="D49" s="16"/>
      <c r="E49" s="10"/>
      <c r="F49" s="10"/>
      <c r="G49" s="18"/>
      <c r="H49" s="13"/>
      <c r="I49" s="19"/>
      <c r="J49" s="19" t="str">
        <f>IF($A49="","",IF(G49&lt;=_xlfn.XLOOKUP(YEAR($C49),'[1]Australia - Weights'!$A:$A,'[1]Australia - Weights'!B:B),
G49/_xlfn.XLOOKUP(YEAR($C49),'[1]Australia - Weights'!$A:$A,'[1]Australia - Weights'!B:B),
_xlfn.XLOOKUP(YEAR($C49),'[1]Australia - Weights'!$A:$A,'[1]Australia - Weights'!B:B)/G49))</f>
        <v/>
      </c>
      <c r="K49" s="19" t="str">
        <f>IF($A49="","",IF(H49&lt;=_xlfn.XLOOKUP(YEAR($C49),'[1]Australia - Weights'!$A:$A,'[1]Australia - Weights'!C:C),
H49/_xlfn.XLOOKUP(YEAR($C49),'[1]Australia - Weights'!$A:$A,'[1]Australia - Weights'!C:C),
_xlfn.XLOOKUP(YEAR($C49),'[1]Australia - Weights'!$A:$A,'[1]Australia - Weights'!C:C)/H49))</f>
        <v/>
      </c>
      <c r="L49" s="19" t="str">
        <f>IF($A49="","",IF(I49&lt;=_xlfn.XLOOKUP(YEAR($C49),'[1]Australia - Weights'!$A:$A,'[1]Australia - Weights'!D:D),
I49/_xlfn.XLOOKUP(YEAR($C49),'[1]Australia - Weights'!$A:$A,'[1]Australia - Weights'!D:D),
_xlfn.XLOOKUP(YEAR($C49),'[1]Australia - Weights'!$A:$A,'[1]Australia - Weights'!D:D)/I49))</f>
        <v/>
      </c>
      <c r="M49" s="19" t="str">
        <f t="shared" si="2"/>
        <v/>
      </c>
      <c r="N49" s="19" t="str">
        <f>IF($A49="","",IF(G49&lt;=_xlfn.XLOOKUP(YEAR($C49),'[1]Australia - Weights'!$A:$A,'[1]Australia - Weights'!B:B),
LN(G49)/LN(_xlfn.XLOOKUP(YEAR($C49),'[1]Australia - Weights'!$A:$A,'[1]Australia - Weights'!B:B)),
LN(_xlfn.XLOOKUP(YEAR($C49),'[1]Australia - Weights'!$A:$A,'[1]Australia - Weights'!B:B))/LN(G49)))</f>
        <v/>
      </c>
      <c r="O49" s="19" t="str">
        <f>IF($A49="","",IF(H49&lt;=_xlfn.XLOOKUP(YEAR($C49),'[1]Australia - Weights'!$A:$A,'[1]Australia - Weights'!C:C),
LN(H49)/LN(_xlfn.XLOOKUP(YEAR($C49),'[1]Australia - Weights'!$A:$A,'[1]Australia - Weights'!C:C)),
LN(_xlfn.XLOOKUP(YEAR($C49),'[1]Australia - Weights'!$A:$A,'[1]Australia - Weights'!C:C))/LN(H49)))</f>
        <v/>
      </c>
      <c r="P49" s="19" t="str">
        <f>IF($A49="","",IF(I49&lt;=_xlfn.XLOOKUP(YEAR($C49),'[1]Australia - Weights'!$A:$A,'[1]Australia - Weights'!D:D),
LN(I49)/LN(_xlfn.XLOOKUP(YEAR($C49),'[1]Australia - Weights'!$A:$A,'[1]Australia - Weights'!D:D)),
LN(_xlfn.XLOOKUP(YEAR($C49),'[1]Australia - Weights'!$A:$A,'[1]Australia - Weights'!D:D))/LN(I49)))</f>
        <v/>
      </c>
      <c r="Q49" s="19" t="str">
        <f t="shared" si="3"/>
        <v/>
      </c>
      <c r="R49" s="12"/>
      <c r="S49" s="12"/>
      <c r="T49" s="12"/>
    </row>
    <row r="50" spans="1:20" s="4" customFormat="1" x14ac:dyDescent="0.35">
      <c r="A50" s="12"/>
      <c r="B50" s="13"/>
      <c r="C50" s="15"/>
      <c r="D50" s="16"/>
      <c r="E50" s="10"/>
      <c r="F50" s="10"/>
      <c r="G50" s="18"/>
      <c r="H50" s="13"/>
      <c r="I50" s="19"/>
      <c r="J50" s="19" t="str">
        <f>IF($A50="","",IF(G50&lt;=_xlfn.XLOOKUP(YEAR($C50),'[1]Australia - Weights'!$A:$A,'[1]Australia - Weights'!B:B),
G50/_xlfn.XLOOKUP(YEAR($C50),'[1]Australia - Weights'!$A:$A,'[1]Australia - Weights'!B:B),
_xlfn.XLOOKUP(YEAR($C50),'[1]Australia - Weights'!$A:$A,'[1]Australia - Weights'!B:B)/G50))</f>
        <v/>
      </c>
      <c r="K50" s="19" t="str">
        <f>IF($A50="","",IF(H50&lt;=_xlfn.XLOOKUP(YEAR($C50),'[1]Australia - Weights'!$A:$A,'[1]Australia - Weights'!C:C),
H50/_xlfn.XLOOKUP(YEAR($C50),'[1]Australia - Weights'!$A:$A,'[1]Australia - Weights'!C:C),
_xlfn.XLOOKUP(YEAR($C50),'[1]Australia - Weights'!$A:$A,'[1]Australia - Weights'!C:C)/H50))</f>
        <v/>
      </c>
      <c r="L50" s="19" t="str">
        <f>IF($A50="","",IF(I50&lt;=_xlfn.XLOOKUP(YEAR($C50),'[1]Australia - Weights'!$A:$A,'[1]Australia - Weights'!D:D),
I50/_xlfn.XLOOKUP(YEAR($C50),'[1]Australia - Weights'!$A:$A,'[1]Australia - Weights'!D:D),
_xlfn.XLOOKUP(YEAR($C50),'[1]Australia - Weights'!$A:$A,'[1]Australia - Weights'!D:D)/I50))</f>
        <v/>
      </c>
      <c r="M50" s="19" t="str">
        <f t="shared" si="2"/>
        <v/>
      </c>
      <c r="N50" s="19" t="str">
        <f>IF($A50="","",IF(G50&lt;=_xlfn.XLOOKUP(YEAR($C50),'[1]Australia - Weights'!$A:$A,'[1]Australia - Weights'!B:B),
LN(G50)/LN(_xlfn.XLOOKUP(YEAR($C50),'[1]Australia - Weights'!$A:$A,'[1]Australia - Weights'!B:B)),
LN(_xlfn.XLOOKUP(YEAR($C50),'[1]Australia - Weights'!$A:$A,'[1]Australia - Weights'!B:B))/LN(G50)))</f>
        <v/>
      </c>
      <c r="O50" s="19" t="str">
        <f>IF($A50="","",IF(H50&lt;=_xlfn.XLOOKUP(YEAR($C50),'[1]Australia - Weights'!$A:$A,'[1]Australia - Weights'!C:C),
LN(H50)/LN(_xlfn.XLOOKUP(YEAR($C50),'[1]Australia - Weights'!$A:$A,'[1]Australia - Weights'!C:C)),
LN(_xlfn.XLOOKUP(YEAR($C50),'[1]Australia - Weights'!$A:$A,'[1]Australia - Weights'!C:C))/LN(H50)))</f>
        <v/>
      </c>
      <c r="P50" s="19" t="str">
        <f>IF($A50="","",IF(I50&lt;=_xlfn.XLOOKUP(YEAR($C50),'[1]Australia - Weights'!$A:$A,'[1]Australia - Weights'!D:D),
LN(I50)/LN(_xlfn.XLOOKUP(YEAR($C50),'[1]Australia - Weights'!$A:$A,'[1]Australia - Weights'!D:D)),
LN(_xlfn.XLOOKUP(YEAR($C50),'[1]Australia - Weights'!$A:$A,'[1]Australia - Weights'!D:D))/LN(I50)))</f>
        <v/>
      </c>
      <c r="Q50" s="19" t="str">
        <f t="shared" si="3"/>
        <v/>
      </c>
      <c r="R50" s="12"/>
      <c r="S50" s="12"/>
      <c r="T50" s="12"/>
    </row>
    <row r="51" spans="1:20" s="4" customFormat="1" x14ac:dyDescent="0.35">
      <c r="A51" s="12"/>
      <c r="B51" s="13"/>
      <c r="C51" s="15"/>
      <c r="D51" s="16"/>
      <c r="E51" s="10"/>
      <c r="F51" s="10"/>
      <c r="G51" s="18"/>
      <c r="H51" s="13"/>
      <c r="I51" s="19"/>
      <c r="J51" s="19"/>
      <c r="K51" s="19"/>
      <c r="L51" s="19"/>
      <c r="M51" s="19"/>
      <c r="N51" s="19"/>
      <c r="O51" s="19"/>
      <c r="P51" s="19"/>
      <c r="Q51" s="19"/>
      <c r="R51" s="12"/>
      <c r="S51" s="12"/>
      <c r="T51" s="12"/>
    </row>
    <row r="52" spans="1:20" s="4" customFormat="1" x14ac:dyDescent="0.35">
      <c r="A52" s="12"/>
      <c r="B52" s="13"/>
      <c r="C52" s="15"/>
      <c r="D52" s="16"/>
      <c r="E52" s="10"/>
      <c r="F52" s="10"/>
      <c r="G52" s="18"/>
      <c r="H52" s="13"/>
      <c r="I52" s="19"/>
      <c r="J52" s="19"/>
      <c r="K52" s="19"/>
      <c r="L52" s="19"/>
      <c r="M52" s="19"/>
      <c r="N52" s="19"/>
      <c r="O52" s="19"/>
      <c r="P52" s="19"/>
      <c r="Q52" s="19"/>
      <c r="R52" s="12"/>
      <c r="S52" s="12"/>
      <c r="T52" s="12"/>
    </row>
    <row r="53" spans="1:20" s="4" customFormat="1" x14ac:dyDescent="0.35">
      <c r="A53" s="12"/>
      <c r="B53" s="13"/>
      <c r="C53" s="15"/>
      <c r="D53" s="16"/>
      <c r="E53" s="10"/>
      <c r="F53" s="10"/>
      <c r="G53" s="13"/>
      <c r="H53" s="13"/>
      <c r="I53" s="13"/>
      <c r="J53" s="13"/>
      <c r="K53" s="13"/>
      <c r="L53" s="13"/>
      <c r="M53" s="13"/>
      <c r="N53" s="13"/>
      <c r="O53" s="13"/>
      <c r="P53" s="13"/>
      <c r="Q53" s="13"/>
      <c r="R53" s="12"/>
      <c r="S53" s="12"/>
      <c r="T53" s="12"/>
    </row>
    <row r="54" spans="1:20" s="4" customFormat="1" x14ac:dyDescent="0.35">
      <c r="A54" s="12"/>
      <c r="B54" s="13"/>
      <c r="C54" s="15"/>
      <c r="D54" s="16"/>
      <c r="E54" s="10"/>
      <c r="F54" s="10"/>
      <c r="G54" s="13"/>
      <c r="H54" s="13"/>
      <c r="I54" s="13"/>
      <c r="J54" s="13"/>
      <c r="K54" s="13"/>
      <c r="L54" s="13"/>
      <c r="M54" s="13"/>
      <c r="N54" s="13"/>
      <c r="O54" s="13"/>
      <c r="P54" s="13"/>
      <c r="Q54" s="13"/>
      <c r="R54" s="12"/>
      <c r="S54" s="12"/>
      <c r="T54" s="12"/>
    </row>
    <row r="55" spans="1:20" s="4" customFormat="1" x14ac:dyDescent="0.35">
      <c r="A55" s="12"/>
      <c r="B55" s="13"/>
      <c r="C55" s="15"/>
      <c r="D55" s="16"/>
      <c r="E55" s="10"/>
      <c r="F55" s="10"/>
      <c r="G55" s="13"/>
      <c r="H55" s="13"/>
      <c r="I55" s="13"/>
      <c r="J55" s="13"/>
      <c r="K55" s="13"/>
      <c r="L55" s="13"/>
      <c r="M55" s="13"/>
      <c r="N55" s="13"/>
      <c r="O55" s="13"/>
      <c r="P55" s="13"/>
      <c r="Q55" s="13"/>
      <c r="R55" s="12"/>
      <c r="S55" s="12"/>
      <c r="T55" s="12"/>
    </row>
    <row r="56" spans="1:20" s="4" customFormat="1" x14ac:dyDescent="0.35">
      <c r="A56" s="12"/>
      <c r="B56" s="13"/>
      <c r="C56" s="15"/>
      <c r="D56" s="16"/>
      <c r="E56" s="10"/>
      <c r="F56" s="10"/>
      <c r="G56" s="13"/>
      <c r="H56" s="13"/>
      <c r="I56" s="13"/>
      <c r="J56" s="13"/>
      <c r="K56" s="13"/>
      <c r="L56" s="13"/>
      <c r="M56" s="13"/>
      <c r="N56" s="13"/>
      <c r="O56" s="13"/>
      <c r="P56" s="13"/>
      <c r="Q56" s="13"/>
      <c r="R56" s="12"/>
      <c r="S56" s="12"/>
      <c r="T56" s="12"/>
    </row>
    <row r="57" spans="1:20" s="4" customFormat="1" x14ac:dyDescent="0.35">
      <c r="A57" s="12"/>
      <c r="B57" s="13"/>
      <c r="C57" s="15"/>
      <c r="D57" s="16"/>
      <c r="E57" s="10"/>
      <c r="F57" s="10"/>
      <c r="G57" s="13"/>
      <c r="H57" s="13"/>
      <c r="I57" s="13"/>
      <c r="J57" s="13"/>
      <c r="K57" s="13"/>
      <c r="L57" s="13"/>
      <c r="M57" s="13"/>
      <c r="N57" s="13"/>
      <c r="O57" s="13"/>
      <c r="P57" s="13"/>
      <c r="Q57" s="13"/>
      <c r="R57" s="12"/>
      <c r="S57" s="12"/>
      <c r="T57" s="12"/>
    </row>
    <row r="58" spans="1:20" s="4" customFormat="1" x14ac:dyDescent="0.35">
      <c r="A58" s="12"/>
      <c r="B58" s="13"/>
      <c r="C58" s="15"/>
      <c r="D58" s="16"/>
      <c r="E58" s="10"/>
      <c r="F58" s="10"/>
      <c r="G58" s="13"/>
      <c r="H58" s="13"/>
      <c r="I58" s="13"/>
      <c r="J58" s="13"/>
      <c r="K58" s="13"/>
      <c r="L58" s="13"/>
      <c r="M58" s="13"/>
      <c r="N58" s="13"/>
      <c r="O58" s="13"/>
      <c r="P58" s="13"/>
      <c r="Q58" s="13"/>
      <c r="R58" s="12"/>
      <c r="S58" s="12"/>
      <c r="T58" s="12"/>
    </row>
    <row r="59" spans="1:20" s="4" customFormat="1" x14ac:dyDescent="0.35">
      <c r="A59" s="12"/>
      <c r="B59" s="13"/>
      <c r="C59" s="15"/>
      <c r="D59" s="16"/>
      <c r="E59" s="10"/>
      <c r="F59" s="10"/>
      <c r="G59" s="13"/>
      <c r="H59" s="13"/>
      <c r="I59" s="13"/>
      <c r="J59" s="13"/>
      <c r="K59" s="13"/>
      <c r="L59" s="13"/>
      <c r="M59" s="13"/>
      <c r="N59" s="13"/>
      <c r="O59" s="13"/>
      <c r="P59" s="13"/>
      <c r="Q59" s="13"/>
      <c r="R59" s="12"/>
      <c r="S59" s="12"/>
      <c r="T59" s="12"/>
    </row>
    <row r="60" spans="1:20" s="4" customFormat="1" x14ac:dyDescent="0.35">
      <c r="A60" s="12"/>
      <c r="B60" s="13"/>
      <c r="C60" s="15"/>
      <c r="D60" s="16"/>
      <c r="E60" s="10"/>
      <c r="F60" s="10"/>
      <c r="G60" s="13"/>
      <c r="H60" s="13"/>
      <c r="I60" s="13"/>
      <c r="J60" s="13"/>
      <c r="K60" s="13"/>
      <c r="L60" s="13"/>
      <c r="M60" s="13"/>
      <c r="N60" s="13"/>
      <c r="O60" s="13"/>
      <c r="P60" s="13"/>
      <c r="Q60" s="13"/>
      <c r="R60" s="12"/>
      <c r="S60" s="12"/>
      <c r="T60" s="12"/>
    </row>
    <row r="61" spans="1:20" s="4" customFormat="1" x14ac:dyDescent="0.35">
      <c r="A61" s="12"/>
      <c r="B61" s="13"/>
      <c r="C61" s="15"/>
      <c r="D61" s="16"/>
      <c r="E61" s="10"/>
      <c r="F61" s="10"/>
      <c r="G61" s="13"/>
      <c r="H61" s="13"/>
      <c r="I61" s="13"/>
      <c r="J61" s="13"/>
      <c r="K61" s="13"/>
      <c r="L61" s="13"/>
      <c r="M61" s="13"/>
      <c r="N61" s="13"/>
      <c r="O61" s="13"/>
      <c r="P61" s="13"/>
      <c r="Q61" s="13"/>
      <c r="R61" s="12"/>
      <c r="S61" s="12"/>
      <c r="T61" s="12"/>
    </row>
    <row r="62" spans="1:20" s="4" customFormat="1" x14ac:dyDescent="0.35">
      <c r="A62" s="12"/>
      <c r="B62" s="13"/>
      <c r="C62" s="15"/>
      <c r="D62" s="16"/>
      <c r="E62" s="10"/>
      <c r="F62" s="10"/>
      <c r="G62" s="13"/>
      <c r="H62" s="13"/>
      <c r="I62" s="13"/>
      <c r="J62" s="13"/>
      <c r="K62" s="13"/>
      <c r="L62" s="13"/>
      <c r="M62" s="13"/>
      <c r="N62" s="13"/>
      <c r="O62" s="13"/>
      <c r="P62" s="13"/>
      <c r="Q62" s="13"/>
      <c r="R62" s="12"/>
      <c r="S62" s="12"/>
      <c r="T62" s="12"/>
    </row>
    <row r="63" spans="1:20" s="4" customFormat="1" x14ac:dyDescent="0.35">
      <c r="A63" s="12"/>
      <c r="B63" s="13"/>
      <c r="C63" s="15"/>
      <c r="D63" s="16"/>
      <c r="E63" s="10"/>
      <c r="F63" s="10"/>
      <c r="G63" s="13"/>
      <c r="H63" s="13"/>
      <c r="I63" s="13"/>
      <c r="J63" s="13"/>
      <c r="K63" s="13"/>
      <c r="L63" s="13"/>
      <c r="M63" s="13"/>
      <c r="N63" s="13"/>
      <c r="O63" s="13"/>
      <c r="P63" s="13"/>
      <c r="Q63" s="13"/>
      <c r="R63" s="12"/>
      <c r="S63" s="12"/>
      <c r="T63" s="12"/>
    </row>
    <row r="64" spans="1:20" s="4" customFormat="1" x14ac:dyDescent="0.35">
      <c r="A64" s="12"/>
      <c r="B64" s="13"/>
      <c r="C64" s="15"/>
      <c r="D64" s="16"/>
      <c r="E64" s="10"/>
      <c r="F64" s="10"/>
      <c r="G64" s="13"/>
      <c r="H64" s="13"/>
      <c r="I64" s="13"/>
      <c r="J64" s="13"/>
      <c r="K64" s="13"/>
      <c r="L64" s="13"/>
      <c r="M64" s="13"/>
      <c r="N64" s="13"/>
      <c r="O64" s="13"/>
      <c r="P64" s="13"/>
      <c r="Q64" s="13"/>
      <c r="R64" s="12"/>
      <c r="S64" s="12"/>
      <c r="T64" s="12"/>
    </row>
    <row r="65" spans="1:20" s="4" customFormat="1" x14ac:dyDescent="0.35">
      <c r="A65" s="12"/>
      <c r="B65" s="13"/>
      <c r="C65" s="15"/>
      <c r="D65" s="16"/>
      <c r="E65" s="10"/>
      <c r="F65" s="10"/>
      <c r="G65" s="13"/>
      <c r="H65" s="13"/>
      <c r="I65" s="13"/>
      <c r="J65" s="13"/>
      <c r="K65" s="13"/>
      <c r="L65" s="13"/>
      <c r="M65" s="13"/>
      <c r="N65" s="13"/>
      <c r="O65" s="13"/>
      <c r="P65" s="13"/>
      <c r="Q65" s="13"/>
      <c r="R65" s="12"/>
      <c r="S65" s="12"/>
      <c r="T65" s="12"/>
    </row>
    <row r="66" spans="1:20" s="4" customFormat="1" x14ac:dyDescent="0.35">
      <c r="A66" s="12"/>
      <c r="B66" s="13"/>
      <c r="C66" s="15"/>
      <c r="D66" s="16"/>
      <c r="E66" s="10"/>
      <c r="F66" s="10"/>
      <c r="G66" s="13"/>
      <c r="H66" s="13"/>
      <c r="I66" s="13"/>
      <c r="J66" s="13"/>
      <c r="K66" s="13"/>
      <c r="L66" s="13"/>
      <c r="M66" s="13"/>
      <c r="N66" s="13"/>
      <c r="O66" s="13"/>
      <c r="P66" s="13"/>
      <c r="Q66" s="13"/>
      <c r="R66" s="12"/>
      <c r="S66" s="12"/>
      <c r="T66" s="12"/>
    </row>
    <row r="67" spans="1:20" s="4" customFormat="1" x14ac:dyDescent="0.35">
      <c r="A67" s="12"/>
      <c r="B67" s="13"/>
      <c r="C67" s="15"/>
      <c r="D67" s="16"/>
      <c r="E67" s="10"/>
      <c r="F67" s="10"/>
      <c r="G67" s="13"/>
      <c r="H67" s="13"/>
      <c r="I67" s="13"/>
      <c r="J67" s="13"/>
      <c r="K67" s="13"/>
      <c r="L67" s="13"/>
      <c r="M67" s="13"/>
      <c r="N67" s="13"/>
      <c r="O67" s="13"/>
      <c r="P67" s="13"/>
      <c r="Q67" s="13"/>
      <c r="R67" s="12"/>
      <c r="S67" s="12"/>
      <c r="T67" s="12"/>
    </row>
    <row r="68" spans="1:20" s="4" customFormat="1" x14ac:dyDescent="0.35">
      <c r="A68" s="12"/>
      <c r="B68" s="13"/>
      <c r="C68" s="15"/>
      <c r="D68" s="16"/>
      <c r="E68" s="10"/>
      <c r="F68" s="10"/>
      <c r="G68" s="13"/>
      <c r="H68" s="13"/>
      <c r="I68" s="13"/>
      <c r="J68" s="13"/>
      <c r="K68" s="13"/>
      <c r="L68" s="13"/>
      <c r="M68" s="13"/>
      <c r="N68" s="13"/>
      <c r="O68" s="13"/>
      <c r="P68" s="13"/>
      <c r="Q68" s="13"/>
      <c r="R68" s="12"/>
      <c r="S68" s="12"/>
      <c r="T68" s="12"/>
    </row>
    <row r="69" spans="1:20" s="4" customFormat="1" x14ac:dyDescent="0.35">
      <c r="A69" s="12"/>
      <c r="B69" s="13"/>
      <c r="C69" s="15"/>
      <c r="D69" s="16"/>
      <c r="E69" s="10"/>
      <c r="F69" s="10"/>
      <c r="G69" s="13"/>
      <c r="H69" s="13"/>
      <c r="I69" s="13"/>
      <c r="J69" s="13"/>
      <c r="K69" s="13"/>
      <c r="L69" s="13"/>
      <c r="M69" s="13"/>
      <c r="N69" s="13"/>
      <c r="O69" s="13"/>
      <c r="P69" s="13"/>
      <c r="Q69" s="13"/>
      <c r="R69" s="12"/>
      <c r="S69" s="12"/>
      <c r="T69" s="12"/>
    </row>
    <row r="70" spans="1:20" s="4" customFormat="1" x14ac:dyDescent="0.35">
      <c r="A70" s="12"/>
      <c r="B70" s="13"/>
      <c r="C70" s="15"/>
      <c r="D70" s="16"/>
      <c r="E70" s="10"/>
      <c r="F70" s="10"/>
      <c r="G70" s="13"/>
      <c r="H70" s="13"/>
      <c r="I70" s="13"/>
      <c r="J70" s="13"/>
      <c r="K70" s="13"/>
      <c r="L70" s="13"/>
      <c r="M70" s="13"/>
      <c r="N70" s="13"/>
      <c r="O70" s="13"/>
      <c r="P70" s="13"/>
      <c r="Q70" s="13"/>
      <c r="R70" s="12"/>
      <c r="S70" s="12"/>
      <c r="T70" s="12"/>
    </row>
    <row r="71" spans="1:20" s="4" customFormat="1" x14ac:dyDescent="0.35">
      <c r="A71" s="12"/>
      <c r="B71" s="13"/>
      <c r="C71" s="15"/>
      <c r="D71" s="16"/>
      <c r="E71" s="10"/>
      <c r="F71" s="10"/>
      <c r="G71" s="13"/>
      <c r="H71" s="13"/>
      <c r="I71" s="13"/>
      <c r="J71" s="13"/>
      <c r="K71" s="13"/>
      <c r="L71" s="13"/>
      <c r="M71" s="13"/>
      <c r="N71" s="13"/>
      <c r="O71" s="13"/>
      <c r="P71" s="13"/>
      <c r="Q71" s="13"/>
      <c r="R71" s="12"/>
      <c r="S71" s="12"/>
      <c r="T71" s="12"/>
    </row>
    <row r="72" spans="1:20" s="4" customFormat="1" x14ac:dyDescent="0.35">
      <c r="A72" s="12"/>
      <c r="B72" s="13"/>
      <c r="C72" s="15"/>
      <c r="D72" s="16"/>
      <c r="E72" s="10"/>
      <c r="F72" s="10"/>
      <c r="G72" s="13"/>
      <c r="H72" s="13"/>
      <c r="I72" s="13"/>
      <c r="J72" s="13"/>
      <c r="K72" s="13"/>
      <c r="L72" s="13"/>
      <c r="M72" s="13"/>
      <c r="N72" s="13"/>
      <c r="O72" s="13"/>
      <c r="P72" s="13"/>
      <c r="Q72" s="13"/>
      <c r="R72" s="12"/>
      <c r="S72" s="12"/>
      <c r="T72" s="12"/>
    </row>
    <row r="73" spans="1:20" s="4" customFormat="1" x14ac:dyDescent="0.35">
      <c r="A73" s="12"/>
      <c r="B73" s="13"/>
      <c r="C73" s="15"/>
      <c r="D73" s="16"/>
      <c r="E73" s="10"/>
      <c r="F73" s="10"/>
      <c r="G73" s="13"/>
      <c r="H73" s="13"/>
      <c r="I73" s="13"/>
      <c r="J73" s="13"/>
      <c r="K73" s="13"/>
      <c r="L73" s="13"/>
      <c r="M73" s="13"/>
      <c r="N73" s="13"/>
      <c r="O73" s="13"/>
      <c r="P73" s="13"/>
      <c r="Q73" s="13"/>
      <c r="R73" s="12"/>
      <c r="S73" s="12"/>
      <c r="T73" s="12"/>
    </row>
    <row r="74" spans="1:20" s="4" customFormat="1" x14ac:dyDescent="0.35">
      <c r="A74" s="12"/>
      <c r="B74" s="13"/>
      <c r="C74" s="15"/>
      <c r="D74" s="16"/>
      <c r="E74" s="10"/>
      <c r="F74" s="10"/>
      <c r="G74" s="13"/>
      <c r="H74" s="13"/>
      <c r="I74" s="13"/>
      <c r="J74" s="13"/>
      <c r="K74" s="13"/>
      <c r="L74" s="13"/>
      <c r="M74" s="13"/>
      <c r="N74" s="13"/>
      <c r="O74" s="13"/>
      <c r="P74" s="13"/>
      <c r="Q74" s="13"/>
      <c r="R74" s="12"/>
      <c r="S74" s="12"/>
      <c r="T74" s="12"/>
    </row>
    <row r="75" spans="1:20" s="4" customFormat="1" x14ac:dyDescent="0.35">
      <c r="A75" s="12"/>
      <c r="B75" s="13"/>
      <c r="C75" s="15"/>
      <c r="D75" s="16"/>
      <c r="E75" s="10"/>
      <c r="F75" s="10"/>
      <c r="G75" s="13"/>
      <c r="H75" s="13"/>
      <c r="I75" s="13"/>
      <c r="J75" s="13"/>
      <c r="K75" s="13"/>
      <c r="L75" s="13"/>
      <c r="M75" s="13"/>
      <c r="N75" s="13"/>
      <c r="O75" s="13"/>
      <c r="P75" s="13"/>
      <c r="Q75" s="13"/>
      <c r="R75" s="12"/>
      <c r="S75" s="12"/>
      <c r="T75" s="12"/>
    </row>
    <row r="76" spans="1:20" s="4" customFormat="1" x14ac:dyDescent="0.35">
      <c r="A76" s="12"/>
      <c r="B76" s="13"/>
      <c r="C76" s="15"/>
      <c r="D76" s="16"/>
      <c r="E76" s="10"/>
      <c r="F76" s="10"/>
      <c r="G76" s="13"/>
      <c r="H76" s="13"/>
      <c r="I76" s="13"/>
      <c r="J76" s="13"/>
      <c r="K76" s="13"/>
      <c r="L76" s="13"/>
      <c r="M76" s="13"/>
      <c r="N76" s="13"/>
      <c r="O76" s="13"/>
      <c r="P76" s="13"/>
      <c r="Q76" s="13"/>
      <c r="R76" s="12"/>
      <c r="S76" s="12"/>
      <c r="T76" s="12"/>
    </row>
    <row r="77" spans="1:20" s="4" customFormat="1" x14ac:dyDescent="0.35">
      <c r="A77" s="12"/>
      <c r="B77" s="13"/>
      <c r="C77" s="15"/>
      <c r="D77" s="16"/>
      <c r="E77" s="10"/>
      <c r="F77" s="10"/>
      <c r="G77" s="13"/>
      <c r="H77" s="13"/>
      <c r="I77" s="13"/>
      <c r="J77" s="13"/>
      <c r="K77" s="13"/>
      <c r="L77" s="13"/>
      <c r="M77" s="13"/>
      <c r="N77" s="13"/>
      <c r="O77" s="13"/>
      <c r="P77" s="13"/>
      <c r="Q77" s="13"/>
      <c r="R77" s="12"/>
      <c r="S77" s="12"/>
      <c r="T77" s="12"/>
    </row>
    <row r="78" spans="1:20" s="4" customFormat="1" x14ac:dyDescent="0.35">
      <c r="A78" s="12"/>
      <c r="B78" s="13"/>
      <c r="C78" s="15"/>
      <c r="D78" s="16"/>
      <c r="E78" s="10"/>
      <c r="F78" s="10"/>
      <c r="G78" s="13"/>
      <c r="H78" s="13"/>
      <c r="I78" s="13"/>
      <c r="J78" s="13"/>
      <c r="K78" s="13"/>
      <c r="L78" s="13"/>
      <c r="M78" s="13"/>
      <c r="N78" s="13"/>
      <c r="O78" s="13"/>
      <c r="P78" s="13"/>
      <c r="Q78" s="13"/>
      <c r="R78" s="12"/>
      <c r="S78" s="12"/>
      <c r="T78" s="12"/>
    </row>
  </sheetData>
  <conditionalFormatting sqref="E1:F1048576">
    <cfRule type="cellIs" dxfId="0" priority="1" operator="notEqual">
      <formula>""</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312A608CC66EF46A94C5406789A67A5" ma:contentTypeVersion="18" ma:contentTypeDescription="Create a new document." ma:contentTypeScope="" ma:versionID="c70fa8bb632bc1a3aa3f374795b9dd8b">
  <xsd:schema xmlns:xsd="http://www.w3.org/2001/XMLSchema" xmlns:xs="http://www.w3.org/2001/XMLSchema" xmlns:p="http://schemas.microsoft.com/office/2006/metadata/properties" xmlns:ns2="dd7e4107-340f-49bc-b242-932585323802" xmlns:ns3="aaf5b1b8-7fa3-4132-a2ec-fb8a46b60ebe" targetNamespace="http://schemas.microsoft.com/office/2006/metadata/properties" ma:root="true" ma:fieldsID="1378d0875a7a5c1ba170ef745c32f716" ns2:_="" ns3:_="">
    <xsd:import namespace="dd7e4107-340f-49bc-b242-932585323802"/>
    <xsd:import namespace="aaf5b1b8-7fa3-4132-a2ec-fb8a46b60eb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SearchProperties" minOccurs="0"/>
                <xsd:element ref="ns2:MediaServiceObjectDetectorVersion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7e4107-340f-49bc-b242-9325853238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Location" ma:index="25"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af5b1b8-7fa3-4132-a2ec-fb8a46b60eb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90b73f39-9b92-4bc0-bfc8-2ada248a5604}" ma:internalName="TaxCatchAll" ma:showField="CatchAllData" ma:web="aaf5b1b8-7fa3-4132-a2ec-fb8a46b60eb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d7e4107-340f-49bc-b242-932585323802">
      <Terms xmlns="http://schemas.microsoft.com/office/infopath/2007/PartnerControls"/>
    </lcf76f155ced4ddcb4097134ff3c332f>
    <TaxCatchAll xmlns="aaf5b1b8-7fa3-4132-a2ec-fb8a46b60ebe" xsi:nil="true"/>
  </documentManagement>
</p:properties>
</file>

<file path=customXml/itemProps1.xml><?xml version="1.0" encoding="utf-8"?>
<ds:datastoreItem xmlns:ds="http://schemas.openxmlformats.org/officeDocument/2006/customXml" ds:itemID="{4BB6376A-551A-45B7-B8C1-E82EE3A87C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7e4107-340f-49bc-b242-932585323802"/>
    <ds:schemaRef ds:uri="aaf5b1b8-7fa3-4132-a2ec-fb8a46b60e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ED66557-8F0F-4737-8978-150C7FBD8F9E}">
  <ds:schemaRefs>
    <ds:schemaRef ds:uri="http://schemas.microsoft.com/sharepoint/v3/contenttype/forms"/>
  </ds:schemaRefs>
</ds:datastoreItem>
</file>

<file path=customXml/itemProps3.xml><?xml version="1.0" encoding="utf-8"?>
<ds:datastoreItem xmlns:ds="http://schemas.openxmlformats.org/officeDocument/2006/customXml" ds:itemID="{7ADC7D57-8EC0-41B6-8AE4-6C0CADEBFB13}">
  <ds:schemaRefs>
    <ds:schemaRef ds:uri="http://www.w3.org/XML/1998/namespace"/>
    <ds:schemaRef ds:uri="http://purl.org/dc/terms/"/>
    <ds:schemaRef ds:uri="http://purl.org/dc/dcmitype/"/>
    <ds:schemaRef ds:uri="http://schemas.microsoft.com/office/2006/documentManagement/types"/>
    <ds:schemaRef ds:uri="http://schemas.microsoft.com/office/infopath/2007/PartnerControls"/>
    <ds:schemaRef ds:uri="http://purl.org/dc/elements/1.1/"/>
    <ds:schemaRef ds:uri="dd7e4107-340f-49bc-b242-932585323802"/>
    <ds:schemaRef ds:uri="http://schemas.openxmlformats.org/package/2006/metadata/core-properties"/>
    <ds:schemaRef ds:uri="aaf5b1b8-7fa3-4132-a2ec-fb8a46b60ebe"/>
    <ds:schemaRef ds:uri="http://schemas.microsoft.com/office/2006/metadata/properties"/>
  </ds:schemaRefs>
</ds:datastoreItem>
</file>

<file path=docMetadata/LabelInfo.xml><?xml version="1.0" encoding="utf-8"?>
<clbl:labelList xmlns:clbl="http://schemas.microsoft.com/office/2020/mipLabelMetadata">
  <clbl:label id="{0dac7f39-d20c-4e71-8af3-71ee7e268a2b}" enabled="0" method="" siteId="{0dac7f39-d20c-4e71-8af3-71ee7e268a2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Introduction</vt:lpstr>
      <vt:lpstr>percentiles</vt:lpstr>
      <vt:lpstr>weight_thresholds</vt:lpstr>
      <vt:lpstr>discount_rate</vt:lpstr>
      <vt:lpstr>licence_dates</vt:lpstr>
      <vt:lpstr>aus_data</vt:lpstr>
      <vt:lpstr>exchange_rates</vt:lpstr>
      <vt:lpstr>MSR-MHz-pop_index</vt:lpstr>
      <vt:lpstr>S1_benchmark_data</vt:lpstr>
      <vt:lpstr>S2_duration</vt:lpstr>
      <vt:lpstr>S3_currency</vt:lpstr>
      <vt:lpstr>S4_timing</vt:lpstr>
      <vt:lpstr>S5_allocation_weights</vt:lpstr>
      <vt:lpstr>S6A_cohort_data</vt:lpstr>
      <vt:lpstr>S6A_cohort_analysis</vt:lpstr>
      <vt:lpstr>S6B_num_weighting</vt:lpstr>
      <vt:lpstr>S6C_intersection</vt:lpstr>
      <vt:lpstr>S7_fwd_valuations</vt:lpstr>
      <vt:lpstr>S8_expand_duration</vt:lpstr>
      <vt:lpstr>S9_prelim_valuations</vt:lpstr>
      <vt:lpstr>DB2(1)-(3) - Conversion (I)</vt:lpstr>
      <vt:lpstr>DB3 - Weighting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Muratore</dc:creator>
  <cp:keywords/>
  <dc:description/>
  <cp:lastModifiedBy>Laura Bell</cp:lastModifiedBy>
  <cp:revision/>
  <dcterms:created xsi:type="dcterms:W3CDTF">2024-11-12T21:26:02Z</dcterms:created>
  <dcterms:modified xsi:type="dcterms:W3CDTF">2025-05-22T06:22:49Z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0x0101009312A608CC66EF46A94C5406789A67A5</vt:lpwstr>
  </property>
  <property fmtid="{D5CDD505-2E9C-101B-9397-08002B2CF9AE}" pid="3" name="MediaServiceImageTags">
    <vt:lpwstr/>
  </property>
</Properties>
</file>